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5" yWindow="600" windowWidth="31080" windowHeight="15405"/>
  </bookViews>
  <sheets>
    <sheet name="Purge-and-trap" sheetId="1" r:id="rId1"/>
    <sheet name="Headspace" sheetId="2" r:id="rId2"/>
  </sheets>
  <calcPr calcId="162913"/>
</workbook>
</file>

<file path=xl/calcChain.xml><?xml version="1.0" encoding="utf-8"?>
<calcChain xmlns="http://schemas.openxmlformats.org/spreadsheetml/2006/main">
  <c r="AA6" i="2"/>
  <c r="AA7"/>
  <c r="AA8"/>
  <c r="AA9"/>
  <c r="AA5"/>
  <c r="Q8" l="1"/>
  <c r="Q7"/>
  <c r="Q6"/>
  <c r="Q5"/>
  <c r="Q9" l="1"/>
  <c r="N9"/>
  <c r="AB9" s="1"/>
  <c r="AC9" s="1"/>
  <c r="N8"/>
  <c r="AB8" s="1"/>
  <c r="AC8" s="1"/>
  <c r="N7"/>
  <c r="AB7" s="1"/>
  <c r="AC7" s="1"/>
  <c r="N6"/>
  <c r="AB6" s="1"/>
  <c r="AC6" s="1"/>
  <c r="N5"/>
  <c r="AB5" s="1"/>
  <c r="AC5" s="1"/>
  <c r="AA47" l="1"/>
  <c r="N47"/>
  <c r="AA46"/>
  <c r="N46"/>
  <c r="F46"/>
  <c r="E46"/>
  <c r="AA45"/>
  <c r="N45"/>
  <c r="F45"/>
  <c r="E45"/>
  <c r="AA44"/>
  <c r="N44"/>
  <c r="F44"/>
  <c r="Q45" s="1"/>
  <c r="E44"/>
  <c r="D5" i="1"/>
  <c r="J5" s="1"/>
  <c r="K5" s="1"/>
  <c r="L5" s="1"/>
  <c r="F5"/>
  <c r="D6"/>
  <c r="F6"/>
  <c r="J6"/>
  <c r="K6"/>
  <c r="L6" s="1"/>
  <c r="D7"/>
  <c r="F7"/>
  <c r="J7"/>
  <c r="K7" s="1"/>
  <c r="L7" s="1"/>
  <c r="R39"/>
  <c r="D39"/>
  <c r="F39"/>
  <c r="J39"/>
  <c r="K39" s="1"/>
  <c r="L39" s="1"/>
  <c r="R38"/>
  <c r="D38"/>
  <c r="J38" s="1"/>
  <c r="K38" s="1"/>
  <c r="L38" s="1"/>
  <c r="F38"/>
  <c r="D36"/>
  <c r="F36"/>
  <c r="J36"/>
  <c r="K36"/>
  <c r="L36" s="1"/>
  <c r="R36"/>
  <c r="D37"/>
  <c r="J37" s="1"/>
  <c r="K37" s="1"/>
  <c r="L37" s="1"/>
  <c r="F37"/>
  <c r="R37"/>
  <c r="R35"/>
  <c r="D35"/>
  <c r="F35"/>
  <c r="J35"/>
  <c r="K35" s="1"/>
  <c r="L35" s="1"/>
  <c r="Q7"/>
  <c r="Q6"/>
  <c r="Q5"/>
  <c r="N5" l="1"/>
  <c r="M5"/>
  <c r="O35"/>
  <c r="M35"/>
  <c r="N35"/>
  <c r="T36" s="1"/>
  <c r="U36" s="1"/>
  <c r="V36" s="1"/>
  <c r="AB45" i="2"/>
  <c r="AC45" s="1"/>
  <c r="Q46"/>
  <c r="AB46" s="1"/>
  <c r="AC46" s="1"/>
  <c r="Q47"/>
  <c r="AB47" s="1"/>
  <c r="AC47" s="1"/>
  <c r="Q44"/>
  <c r="AB44" s="1"/>
  <c r="AC44" s="1"/>
  <c r="T37" i="1" l="1"/>
  <c r="U37" s="1"/>
  <c r="V37" s="1"/>
  <c r="T38"/>
  <c r="U38" s="1"/>
  <c r="V38" s="1"/>
  <c r="T39"/>
  <c r="U39" s="1"/>
  <c r="V39" s="1"/>
  <c r="T35"/>
  <c r="U35" s="1"/>
  <c r="V35" s="1"/>
  <c r="S7"/>
  <c r="T7" s="1"/>
  <c r="U7" s="1"/>
  <c r="S6"/>
  <c r="T6" s="1"/>
  <c r="U6" s="1"/>
  <c r="S5"/>
  <c r="T5" s="1"/>
  <c r="U5" s="1"/>
</calcChain>
</file>

<file path=xl/sharedStrings.xml><?xml version="1.0" encoding="utf-8"?>
<sst xmlns="http://schemas.openxmlformats.org/spreadsheetml/2006/main" count="333" uniqueCount="149">
  <si>
    <t>Standard Identification</t>
  </si>
  <si>
    <t>Temperature (oC)</t>
  </si>
  <si>
    <t>Concentration (ppm)</t>
  </si>
  <si>
    <t>Volume Injected (ml)</t>
  </si>
  <si>
    <t>Peak Area</t>
  </si>
  <si>
    <t>T (K)</t>
  </si>
  <si>
    <t>Volume Injected (L)</t>
  </si>
  <si>
    <t>R (l*Atm/mol/K)</t>
  </si>
  <si>
    <t>mol gas</t>
  </si>
  <si>
    <t>mol CH4</t>
  </si>
  <si>
    <t>nmol CH4</t>
  </si>
  <si>
    <t>slope</t>
  </si>
  <si>
    <t>Intercept</t>
  </si>
  <si>
    <t xml:space="preserve">SCOR ARS416388 </t>
  </si>
  <si>
    <t>In situ Density</t>
  </si>
  <si>
    <t>Vol sampled (L)</t>
  </si>
  <si>
    <t>CH4 (nmol)</t>
  </si>
  <si>
    <t>CH4 (nM)</t>
  </si>
  <si>
    <t>CH4 (nmol kg-1)</t>
  </si>
  <si>
    <t>Atmospheric pressure (Atm)</t>
  </si>
  <si>
    <t>Standard identification</t>
  </si>
  <si>
    <t>Column A</t>
  </si>
  <si>
    <t>Column B</t>
  </si>
  <si>
    <t>Concentration of the standard in ppm</t>
  </si>
  <si>
    <t>Column C</t>
  </si>
  <si>
    <t>Volume of standard injected into the GC (ml)</t>
  </si>
  <si>
    <t>Column D</t>
  </si>
  <si>
    <t>Volume of standard injected into the GC (liter)</t>
  </si>
  <si>
    <t>Column E</t>
  </si>
  <si>
    <t>Laboratory temperature (oC)</t>
  </si>
  <si>
    <t>Column F</t>
  </si>
  <si>
    <t>Laboratory temperature (K)</t>
  </si>
  <si>
    <t>Column G</t>
  </si>
  <si>
    <t>Laboratory Atmospheric Pressure (Atm)</t>
  </si>
  <si>
    <t>Column I</t>
  </si>
  <si>
    <t>Peak area of standard</t>
  </si>
  <si>
    <t>Column H</t>
  </si>
  <si>
    <t>Column J</t>
  </si>
  <si>
    <t>Column K</t>
  </si>
  <si>
    <t>Column L</t>
  </si>
  <si>
    <t>Column M</t>
  </si>
  <si>
    <t>Column N</t>
  </si>
  <si>
    <t>Column O</t>
  </si>
  <si>
    <t>Calibration slope</t>
  </si>
  <si>
    <t>Calibration intercept</t>
  </si>
  <si>
    <t>Column P</t>
  </si>
  <si>
    <t>Density of seawater sample</t>
  </si>
  <si>
    <t>Column Q</t>
  </si>
  <si>
    <t>Volume of seawater sample analyzed (ml)</t>
  </si>
  <si>
    <t>Volume of seawater sample analyzed (liter)</t>
  </si>
  <si>
    <t>Column R</t>
  </si>
  <si>
    <t>Peak area of sample</t>
  </si>
  <si>
    <t>Column S</t>
  </si>
  <si>
    <t>Column T</t>
  </si>
  <si>
    <t>Column U</t>
  </si>
  <si>
    <t>Methane concentration (moles)</t>
  </si>
  <si>
    <t>Methane concentration (nanomolar)</t>
  </si>
  <si>
    <t>Methane concentration (nanomole/kg)</t>
  </si>
  <si>
    <t>Quantity of gas analyzed (moles)</t>
  </si>
  <si>
    <t>Concentration of methane analyzed (moles)</t>
  </si>
  <si>
    <t>Concentration of methane analyzed (nanomoles)</t>
  </si>
  <si>
    <t>Ideal gas constant</t>
  </si>
  <si>
    <t>Calibration parameters</t>
  </si>
  <si>
    <t>Gas concentration and calibration</t>
  </si>
  <si>
    <t>Vol purged (ml)</t>
  </si>
  <si>
    <t>Sample parameters</t>
  </si>
  <si>
    <t>Sample concentration</t>
  </si>
  <si>
    <t>Parameters and calculations to determine methane concentrations using purge-and-trap analysis</t>
  </si>
  <si>
    <t xml:space="preserve">SCOR WRS416388 </t>
  </si>
  <si>
    <t>a</t>
  </si>
  <si>
    <t>b</t>
  </si>
  <si>
    <t>c</t>
  </si>
  <si>
    <t>mol N2O</t>
  </si>
  <si>
    <t>nmol N2O</t>
  </si>
  <si>
    <t>N2O (nmol)</t>
  </si>
  <si>
    <t>N2O (nmol kg-1)</t>
  </si>
  <si>
    <t>N2O (nM)</t>
  </si>
  <si>
    <t>Column v</t>
  </si>
  <si>
    <t>Concentration of Nitrous oxide analyzed (moles)</t>
  </si>
  <si>
    <t>Concentration of Nitrous oxide analyzed (nanomoles)</t>
  </si>
  <si>
    <t>Nitrous oxide concentration (moles)</t>
  </si>
  <si>
    <t>Nitrous oxide concentration (nanomolar)</t>
  </si>
  <si>
    <t>Nitrous oxide concentration (nanomole/kg)</t>
  </si>
  <si>
    <t>Calbration Quadratic fit a</t>
  </si>
  <si>
    <t>Calbration Quadratic fit b</t>
  </si>
  <si>
    <t>Calbration Quadratic fit c</t>
  </si>
  <si>
    <t>Calculations used to determine nitrous oxide concentrations via headspace analysis</t>
  </si>
  <si>
    <t>Concentration (ppm)= intercept + area*slope (steepwise lineal)</t>
  </si>
  <si>
    <t>Nitrous oxide solubility equation from  Weiss and Price (1980) Mar. Chem. 8, 347–359</t>
  </si>
  <si>
    <t xml:space="preserve">Calibration </t>
  </si>
  <si>
    <t>Sample Information</t>
  </si>
  <si>
    <t>Sample analysis</t>
  </si>
  <si>
    <t>Calculation input terms</t>
  </si>
  <si>
    <t>Concentration (ppb)</t>
  </si>
  <si>
    <t>Slope</t>
  </si>
  <si>
    <t>Sample ID</t>
  </si>
  <si>
    <t>In situ Temp</t>
  </si>
  <si>
    <t>Salinity</t>
  </si>
  <si>
    <t>Lab pressure (atm)</t>
  </si>
  <si>
    <t>Equilibration temperature (ºC)</t>
  </si>
  <si>
    <t>Total sample volume (mL)</t>
  </si>
  <si>
    <t>Water phase volume (mL)</t>
  </si>
  <si>
    <t>Headspace phase volume (mL)</t>
  </si>
  <si>
    <t>Sample Peak Area</t>
  </si>
  <si>
    <t>x0</t>
  </si>
  <si>
    <t>A1</t>
  </si>
  <si>
    <t>A2</t>
  </si>
  <si>
    <t>A3</t>
  </si>
  <si>
    <t>A4</t>
  </si>
  <si>
    <t>B1</t>
  </si>
  <si>
    <t>B2</t>
  </si>
  <si>
    <t>B3</t>
  </si>
  <si>
    <t>R (gas constant)             L atm K-1 mol-1</t>
  </si>
  <si>
    <t>N2</t>
  </si>
  <si>
    <t>25 m</t>
  </si>
  <si>
    <t>STD4_SCOR ARS426347</t>
  </si>
  <si>
    <t>STD1</t>
  </si>
  <si>
    <t>STD2</t>
  </si>
  <si>
    <t>Sample identification code</t>
  </si>
  <si>
    <t>In situ sample temperature (ºC)</t>
  </si>
  <si>
    <t>In situ salinity</t>
  </si>
  <si>
    <t>Density of seawater sample (kg m-3)</t>
  </si>
  <si>
    <t>Laboratory temperature during equilibration (ºC)</t>
  </si>
  <si>
    <t>Volume of  total seawater sample (ml)</t>
  </si>
  <si>
    <t>Volume of seawater phase during equilibration (ml)</t>
  </si>
  <si>
    <t>Volume of headspace phase during equilibration (ml)</t>
  </si>
  <si>
    <t>Column S to Y</t>
  </si>
  <si>
    <t>Column Z</t>
  </si>
  <si>
    <t>Ideal gas constant (L atm K-1 mol-1)</t>
  </si>
  <si>
    <t>Column AA</t>
  </si>
  <si>
    <t>Column AB</t>
  </si>
  <si>
    <t>Column AC</t>
  </si>
  <si>
    <t>Calculations used to determine methane concentrations via headspace analysis</t>
  </si>
  <si>
    <t>Concentration (ppm)= intercept + area*slope</t>
  </si>
  <si>
    <r>
      <t xml:space="preserve">Methane solubility equation from Wiesenburg and Guinasso (1979) </t>
    </r>
    <r>
      <rPr>
        <b/>
        <i/>
        <sz val="12"/>
        <rFont val="Calibri"/>
        <family val="2"/>
      </rPr>
      <t>J. Chem. Eng. Data</t>
    </r>
    <r>
      <rPr>
        <b/>
        <sz val="12"/>
        <rFont val="Calibri"/>
        <family val="2"/>
      </rPr>
      <t xml:space="preserve"> 24, 354-360.</t>
    </r>
  </si>
  <si>
    <t>STD5 SCOR WRS464537</t>
  </si>
  <si>
    <t>Parameters and calculations to determine nitrous oxide concentrations using purge-and-trap analysis</t>
  </si>
  <si>
    <t>xCH4 headspace (ppb)</t>
  </si>
  <si>
    <t>CH4 initial mixing ratio in the equilibrator gas (time=0) (ppb)</t>
  </si>
  <si>
    <t>CH4 mixing ratio in headspace in equilibrium with water sample (ppb)</t>
  </si>
  <si>
    <t>Coefficients of  Nitrous oxide solubility equation from  Weiss and Price (1980) Mar. Chem. 8, 347–359. Table 2 (mol L-1 atm -1)</t>
  </si>
  <si>
    <t>Coefficients of CH4 equilibrium solubility equation from Wiesenburg and Guinasso (1979) J. Chem. Eng. Data 24, 354-360. Table 6. (nmol L-1 atm -1)</t>
  </si>
  <si>
    <t>CH4 equilibrium solubility equation from Wiesenburg and Guinasso (1979) J. Chem. Eng. Data 24, 354-360. Equation 6. (nmol L-1 atm -1)</t>
  </si>
  <si>
    <t>xN2O headspace (ppb)</t>
  </si>
  <si>
    <t>N2O mixing ratio in headspace in equilibrium with water sample (ppb)</t>
  </si>
  <si>
    <t>N2O initial mixing ratio in the equilibrator gas (time=0) (ppb)</t>
  </si>
  <si>
    <t>Equilibrium solubility C* (nmol /L atm)</t>
  </si>
  <si>
    <t>Equilibrium solubility F (mol /L atm)</t>
  </si>
  <si>
    <t>Equilibrium solubility  equation from  Weiss and Price (1980) Mar. Chem. 8, 347–359. Equation 13 (mol L-1 atm -1)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</si>
</sst>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80808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sz val="12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/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4" fillId="3" borderId="8" xfId="0" applyFont="1" applyFill="1" applyBorder="1" applyAlignment="1">
      <alignment horizontal="center"/>
    </xf>
    <xf numFmtId="0" fontId="7" fillId="0" borderId="0" xfId="0" applyFont="1"/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9" fillId="3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0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2" fontId="5" fillId="0" borderId="0" xfId="0" applyNumberFormat="1" applyFont="1" applyAlignment="1">
      <alignment horizontal="center" vertical="center" wrapText="1"/>
    </xf>
    <xf numFmtId="166" fontId="6" fillId="0" borderId="0" xfId="0" applyNumberFormat="1" applyFont="1"/>
    <xf numFmtId="164" fontId="5" fillId="0" borderId="0" xfId="0" applyNumberFormat="1" applyFont="1" applyFill="1"/>
    <xf numFmtId="2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5" fillId="0" borderId="0" xfId="0" applyNumberFormat="1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1" fontId="6" fillId="0" borderId="0" xfId="0" applyNumberFormat="1" applyFont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8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4" fillId="6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workbookViewId="0">
      <selection activeCell="A28" sqref="A28"/>
    </sheetView>
  </sheetViews>
  <sheetFormatPr defaultColWidth="8.85546875" defaultRowHeight="15"/>
  <cols>
    <col min="1" max="1" width="22.28515625" customWidth="1"/>
    <col min="2" max="2" width="21.28515625" customWidth="1"/>
    <col min="3" max="3" width="22.28515625" customWidth="1"/>
    <col min="4" max="4" width="19.42578125" customWidth="1"/>
    <col min="5" max="5" width="18.42578125" customWidth="1"/>
    <col min="6" max="6" width="15.42578125" customWidth="1"/>
    <col min="7" max="7" width="17.140625" customWidth="1"/>
    <col min="8" max="8" width="16.140625" customWidth="1"/>
    <col min="9" max="9" width="20.28515625" customWidth="1"/>
    <col min="10" max="10" width="16" customWidth="1"/>
    <col min="11" max="11" width="13.28515625" customWidth="1"/>
    <col min="12" max="12" width="14.42578125" customWidth="1"/>
    <col min="15" max="15" width="12.140625" customWidth="1"/>
    <col min="16" max="16" width="11.42578125" customWidth="1"/>
    <col min="17" max="17" width="13.42578125" customWidth="1"/>
    <col min="18" max="18" width="11.7109375" customWidth="1"/>
    <col min="19" max="19" width="14.85546875" customWidth="1"/>
    <col min="20" max="20" width="18.42578125" customWidth="1"/>
    <col min="21" max="21" width="17.7109375" customWidth="1"/>
    <col min="22" max="22" width="15.7109375" customWidth="1"/>
  </cols>
  <sheetData>
    <row r="1" spans="1:21">
      <c r="A1" s="37" t="s">
        <v>67</v>
      </c>
    </row>
    <row r="2" spans="1:21" s="1" customFormat="1" ht="13.5" customHeight="1"/>
    <row r="3" spans="1:21" s="1" customFormat="1" ht="13.5" customHeight="1">
      <c r="A3" s="91" t="s">
        <v>62</v>
      </c>
      <c r="B3" s="92"/>
      <c r="C3" s="92"/>
      <c r="D3" s="92"/>
      <c r="E3" s="92"/>
      <c r="F3" s="92"/>
      <c r="G3" s="92"/>
      <c r="H3" s="93"/>
      <c r="I3" s="94" t="s">
        <v>63</v>
      </c>
      <c r="J3" s="95"/>
      <c r="K3" s="95"/>
      <c r="L3" s="95"/>
      <c r="M3" s="95"/>
      <c r="N3" s="96"/>
      <c r="O3" s="97" t="s">
        <v>65</v>
      </c>
      <c r="P3" s="98"/>
      <c r="Q3" s="98"/>
      <c r="R3" s="99"/>
      <c r="S3" s="100" t="s">
        <v>66</v>
      </c>
      <c r="T3" s="101"/>
      <c r="U3" s="102"/>
    </row>
    <row r="4" spans="1:21" s="1" customFormat="1" ht="13.5" customHeight="1">
      <c r="A4" s="2" t="s">
        <v>0</v>
      </c>
      <c r="B4" s="2" t="s">
        <v>2</v>
      </c>
      <c r="C4" s="15" t="s">
        <v>3</v>
      </c>
      <c r="D4" s="15" t="s">
        <v>6</v>
      </c>
      <c r="E4" s="2" t="s">
        <v>1</v>
      </c>
      <c r="F4" s="15" t="s">
        <v>5</v>
      </c>
      <c r="G4" s="2" t="s">
        <v>19</v>
      </c>
      <c r="H4" s="15" t="s">
        <v>4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25" t="s">
        <v>12</v>
      </c>
      <c r="O4" s="16" t="s">
        <v>14</v>
      </c>
      <c r="P4" s="16" t="s">
        <v>64</v>
      </c>
      <c r="Q4" s="16" t="s">
        <v>15</v>
      </c>
      <c r="R4" s="16" t="s">
        <v>4</v>
      </c>
      <c r="S4" s="4" t="s">
        <v>16</v>
      </c>
      <c r="T4" s="4" t="s">
        <v>17</v>
      </c>
      <c r="U4" s="4" t="s">
        <v>18</v>
      </c>
    </row>
    <row r="5" spans="1:21" s="1" customFormat="1" ht="13.5" customHeight="1">
      <c r="A5" s="34" t="s">
        <v>13</v>
      </c>
      <c r="B5" s="6">
        <v>1.9239999999999999</v>
      </c>
      <c r="C5" s="6">
        <v>1</v>
      </c>
      <c r="D5" s="6">
        <f>C5/1000</f>
        <v>1E-3</v>
      </c>
      <c r="E5" s="6">
        <v>22</v>
      </c>
      <c r="F5" s="6">
        <f>E5+273.15</f>
        <v>295.14999999999998</v>
      </c>
      <c r="G5" s="6">
        <v>0.999</v>
      </c>
      <c r="H5" s="7">
        <v>28.8</v>
      </c>
      <c r="I5" s="5">
        <v>8.2057000000000005E-2</v>
      </c>
      <c r="J5" s="6">
        <f>G5*D5/I5/F5</f>
        <v>4.1248396042803955E-5</v>
      </c>
      <c r="K5" s="6">
        <f>J5*B5/1000000</f>
        <v>7.9361913986354807E-11</v>
      </c>
      <c r="L5" s="8">
        <f>K5*1000000000</f>
        <v>7.936191398635481E-2</v>
      </c>
      <c r="M5" s="30">
        <f>SLOPE(H5:H8,L5:L8)</f>
        <v>374.47724325727052</v>
      </c>
      <c r="N5" s="31">
        <f>INTERCEPT(H5:H8,L5:L8)</f>
        <v>-0.58461538461537543</v>
      </c>
      <c r="O5" s="26">
        <v>23.73</v>
      </c>
      <c r="P5" s="6">
        <v>74.7</v>
      </c>
      <c r="Q5" s="6">
        <f>P5/1000</f>
        <v>7.4700000000000003E-2</v>
      </c>
      <c r="R5" s="7">
        <v>60.81</v>
      </c>
      <c r="S5" s="14">
        <f>(R5-$N$5)/$M$5</f>
        <v>0.1639475201499401</v>
      </c>
      <c r="T5" s="10">
        <f>S5/Q5</f>
        <v>2.194745919008569</v>
      </c>
      <c r="U5" s="13">
        <f>T5/(1+O5/1000)</f>
        <v>2.1438718402396812</v>
      </c>
    </row>
    <row r="6" spans="1:21" s="1" customFormat="1" ht="13.5" customHeight="1">
      <c r="A6" s="34" t="s">
        <v>13</v>
      </c>
      <c r="B6" s="6">
        <v>1.9239999999999999</v>
      </c>
      <c r="C6" s="6">
        <v>2</v>
      </c>
      <c r="D6" s="6">
        <f>C6/1000</f>
        <v>2E-3</v>
      </c>
      <c r="E6" s="6">
        <v>22</v>
      </c>
      <c r="F6" s="6">
        <f>E6+273.15</f>
        <v>295.14999999999998</v>
      </c>
      <c r="G6" s="6">
        <v>0.999</v>
      </c>
      <c r="H6" s="7">
        <v>59.3</v>
      </c>
      <c r="I6" s="5">
        <v>8.2057000000000005E-2</v>
      </c>
      <c r="J6" s="6">
        <f>G6*D6/I6/F6</f>
        <v>8.249679208560791E-5</v>
      </c>
      <c r="K6" s="6">
        <f>J6*B6/1000000</f>
        <v>1.5872382797270961E-10</v>
      </c>
      <c r="L6" s="8">
        <f t="shared" ref="L6:L7" si="0">K6*1000000000</f>
        <v>0.15872382797270962</v>
      </c>
      <c r="M6" s="11"/>
      <c r="N6" s="6"/>
      <c r="O6" s="26">
        <v>23.73</v>
      </c>
      <c r="P6" s="6">
        <v>76.69</v>
      </c>
      <c r="Q6" s="6">
        <f t="shared" ref="Q6:Q7" si="1">P6/1000</f>
        <v>7.6689999999999994E-2</v>
      </c>
      <c r="R6" s="7">
        <v>62.5</v>
      </c>
      <c r="S6" s="14">
        <f>(R6-$N$5)/$M$5</f>
        <v>0.16846047796094105</v>
      </c>
      <c r="T6" s="10">
        <f>S6/Q6</f>
        <v>2.1966420388700101</v>
      </c>
      <c r="U6" s="13">
        <f>T6/(1+O6/1000)</f>
        <v>2.1457240081564573</v>
      </c>
    </row>
    <row r="7" spans="1:21" s="1" customFormat="1" ht="13.5" customHeight="1">
      <c r="A7" s="35" t="s">
        <v>13</v>
      </c>
      <c r="B7" s="28">
        <v>1.9239999999999999</v>
      </c>
      <c r="C7" s="28">
        <v>5</v>
      </c>
      <c r="D7" s="28">
        <f>C7/1000</f>
        <v>5.0000000000000001E-3</v>
      </c>
      <c r="E7" s="28">
        <v>22</v>
      </c>
      <c r="F7" s="28">
        <f>E7+273.15</f>
        <v>295.14999999999998</v>
      </c>
      <c r="G7" s="28">
        <v>0.999</v>
      </c>
      <c r="H7" s="29">
        <v>147.9</v>
      </c>
      <c r="I7" s="32">
        <v>8.2057000000000005E-2</v>
      </c>
      <c r="J7" s="28">
        <f>G7*D7/I7/F7</f>
        <v>2.0624198021401978E-4</v>
      </c>
      <c r="K7" s="28">
        <f>J7*B7/1000000</f>
        <v>3.9680956993177403E-10</v>
      </c>
      <c r="L7" s="33">
        <f t="shared" si="0"/>
        <v>0.39680956993177402</v>
      </c>
      <c r="M7" s="6"/>
      <c r="N7" s="6"/>
      <c r="O7" s="27">
        <v>23.73</v>
      </c>
      <c r="P7" s="28">
        <v>74.72</v>
      </c>
      <c r="Q7" s="28">
        <f t="shared" si="1"/>
        <v>7.4719999999999995E-2</v>
      </c>
      <c r="R7" s="29">
        <v>62.2</v>
      </c>
      <c r="S7" s="22">
        <f>(R7-$N$5)/$M$5</f>
        <v>0.16765936118975744</v>
      </c>
      <c r="T7" s="23">
        <f>S7/Q7</f>
        <v>2.2438351336958973</v>
      </c>
      <c r="U7" s="24">
        <f>T7/(1+O7/1000)</f>
        <v>2.1918231698747688</v>
      </c>
    </row>
    <row r="8" spans="1:21" s="1" customFormat="1" ht="13.5" customHeight="1">
      <c r="A8" s="17"/>
      <c r="B8" s="6"/>
      <c r="C8" s="6"/>
      <c r="D8" s="6"/>
      <c r="E8" s="6"/>
      <c r="F8" s="6"/>
      <c r="G8" s="6"/>
      <c r="H8" s="6"/>
      <c r="I8" s="6"/>
      <c r="J8" s="6"/>
      <c r="K8" s="6"/>
      <c r="L8" s="18"/>
      <c r="M8" s="6"/>
      <c r="N8" s="6"/>
      <c r="O8" s="12"/>
      <c r="P8" s="6"/>
      <c r="Q8" s="6"/>
      <c r="R8" s="6"/>
      <c r="S8" s="10"/>
      <c r="T8" s="10"/>
      <c r="U8" s="10"/>
    </row>
    <row r="9" spans="1:21" s="1" customFormat="1" ht="13.5" customHeight="1">
      <c r="A9" s="17" t="s">
        <v>21</v>
      </c>
      <c r="B9" s="17" t="s">
        <v>20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  <c r="P9" s="6"/>
      <c r="Q9" s="11"/>
      <c r="R9" s="11"/>
      <c r="S9" s="10"/>
      <c r="T9" s="9"/>
      <c r="U9" s="10"/>
    </row>
    <row r="10" spans="1:21" ht="15.75">
      <c r="A10" s="20" t="s">
        <v>22</v>
      </c>
      <c r="B10" s="19" t="s">
        <v>23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5.75">
      <c r="A11" s="20" t="s">
        <v>24</v>
      </c>
      <c r="B11" s="19" t="s">
        <v>25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5.75">
      <c r="A12" s="20" t="s">
        <v>26</v>
      </c>
      <c r="B12" s="19" t="s">
        <v>27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5.75">
      <c r="A13" s="20" t="s">
        <v>28</v>
      </c>
      <c r="B13" s="21" t="s">
        <v>29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5.75">
      <c r="A14" s="20" t="s">
        <v>30</v>
      </c>
      <c r="B14" s="21" t="s">
        <v>31</v>
      </c>
    </row>
    <row r="15" spans="1:21" ht="15.75">
      <c r="A15" s="20" t="s">
        <v>32</v>
      </c>
      <c r="B15" s="21" t="s">
        <v>33</v>
      </c>
    </row>
    <row r="16" spans="1:21" ht="15.75">
      <c r="A16" s="20" t="s">
        <v>36</v>
      </c>
      <c r="B16" s="21" t="s">
        <v>35</v>
      </c>
    </row>
    <row r="17" spans="1:2" ht="15.75">
      <c r="A17" s="20" t="s">
        <v>34</v>
      </c>
      <c r="B17" s="21" t="s">
        <v>61</v>
      </c>
    </row>
    <row r="18" spans="1:2" ht="15.75">
      <c r="A18" s="20" t="s">
        <v>37</v>
      </c>
      <c r="B18" t="s">
        <v>58</v>
      </c>
    </row>
    <row r="19" spans="1:2" ht="15.75">
      <c r="A19" s="20" t="s">
        <v>38</v>
      </c>
      <c r="B19" t="s">
        <v>59</v>
      </c>
    </row>
    <row r="20" spans="1:2" ht="15.75">
      <c r="A20" s="20" t="s">
        <v>39</v>
      </c>
      <c r="B20" t="s">
        <v>60</v>
      </c>
    </row>
    <row r="21" spans="1:2" ht="15.75">
      <c r="A21" s="20" t="s">
        <v>40</v>
      </c>
      <c r="B21" t="s">
        <v>43</v>
      </c>
    </row>
    <row r="22" spans="1:2" ht="15.75">
      <c r="A22" s="20" t="s">
        <v>41</v>
      </c>
      <c r="B22" t="s">
        <v>44</v>
      </c>
    </row>
    <row r="23" spans="1:2" ht="15.75">
      <c r="A23" s="20" t="s">
        <v>42</v>
      </c>
      <c r="B23" t="s">
        <v>46</v>
      </c>
    </row>
    <row r="24" spans="1:2" ht="15.75">
      <c r="A24" s="20" t="s">
        <v>45</v>
      </c>
      <c r="B24" t="s">
        <v>48</v>
      </c>
    </row>
    <row r="25" spans="1:2" ht="15.75">
      <c r="A25" s="20" t="s">
        <v>47</v>
      </c>
      <c r="B25" t="s">
        <v>49</v>
      </c>
    </row>
    <row r="26" spans="1:2" ht="15.75">
      <c r="A26" s="20" t="s">
        <v>50</v>
      </c>
      <c r="B26" s="21" t="s">
        <v>51</v>
      </c>
    </row>
    <row r="27" spans="1:2" ht="15.75">
      <c r="A27" s="20" t="s">
        <v>52</v>
      </c>
      <c r="B27" s="21" t="s">
        <v>55</v>
      </c>
    </row>
    <row r="28" spans="1:2" ht="15.75">
      <c r="A28" s="20" t="s">
        <v>53</v>
      </c>
      <c r="B28" s="21" t="s">
        <v>56</v>
      </c>
    </row>
    <row r="29" spans="1:2" ht="15.75">
      <c r="A29" s="20" t="s">
        <v>54</v>
      </c>
      <c r="B29" s="21" t="s">
        <v>57</v>
      </c>
    </row>
    <row r="30" spans="1:2" ht="15.75">
      <c r="A30" s="20"/>
      <c r="B30" s="21"/>
    </row>
    <row r="31" spans="1:2">
      <c r="A31" s="37" t="s">
        <v>136</v>
      </c>
      <c r="B31" s="21"/>
    </row>
    <row r="32" spans="1:2" ht="15.75">
      <c r="A32" s="20"/>
    </row>
    <row r="33" spans="1:22" s="1" customFormat="1" ht="13.5" customHeight="1">
      <c r="A33" s="91" t="s">
        <v>62</v>
      </c>
      <c r="B33" s="92"/>
      <c r="C33" s="92"/>
      <c r="D33" s="92"/>
      <c r="E33" s="92"/>
      <c r="F33" s="92"/>
      <c r="G33" s="92"/>
      <c r="H33" s="92"/>
      <c r="I33" s="94" t="s">
        <v>63</v>
      </c>
      <c r="J33" s="95"/>
      <c r="K33" s="95"/>
      <c r="L33" s="95"/>
      <c r="M33" s="95"/>
      <c r="N33" s="95"/>
      <c r="O33" s="36"/>
      <c r="P33" s="98" t="s">
        <v>65</v>
      </c>
      <c r="Q33" s="98"/>
      <c r="R33" s="98"/>
      <c r="S33" s="99"/>
      <c r="T33" s="100" t="s">
        <v>66</v>
      </c>
      <c r="U33" s="101"/>
      <c r="V33" s="102"/>
    </row>
    <row r="34" spans="1:22" s="1" customFormat="1" ht="13.5" customHeight="1">
      <c r="A34" s="2" t="s">
        <v>0</v>
      </c>
      <c r="B34" s="2" t="s">
        <v>2</v>
      </c>
      <c r="C34" s="15" t="s">
        <v>3</v>
      </c>
      <c r="D34" s="15" t="s">
        <v>6</v>
      </c>
      <c r="E34" s="2" t="s">
        <v>1</v>
      </c>
      <c r="F34" s="15" t="s">
        <v>5</v>
      </c>
      <c r="G34" s="2" t="s">
        <v>19</v>
      </c>
      <c r="H34" s="15" t="s">
        <v>4</v>
      </c>
      <c r="I34" s="38" t="s">
        <v>7</v>
      </c>
      <c r="J34" s="38" t="s">
        <v>8</v>
      </c>
      <c r="K34" s="38" t="s">
        <v>72</v>
      </c>
      <c r="L34" s="38" t="s">
        <v>73</v>
      </c>
      <c r="M34" s="38" t="s">
        <v>69</v>
      </c>
      <c r="N34" s="39" t="s">
        <v>70</v>
      </c>
      <c r="O34" s="39" t="s">
        <v>71</v>
      </c>
      <c r="P34" s="16" t="s">
        <v>14</v>
      </c>
      <c r="Q34" s="16" t="s">
        <v>64</v>
      </c>
      <c r="R34" s="16" t="s">
        <v>15</v>
      </c>
      <c r="S34" s="16" t="s">
        <v>4</v>
      </c>
      <c r="T34" s="4" t="s">
        <v>74</v>
      </c>
      <c r="U34" s="4" t="s">
        <v>76</v>
      </c>
      <c r="V34" s="4" t="s">
        <v>75</v>
      </c>
    </row>
    <row r="35" spans="1:22" s="1" customFormat="1" ht="13.5" customHeight="1">
      <c r="A35" s="40" t="s">
        <v>13</v>
      </c>
      <c r="B35" s="41">
        <v>22.271000000000001</v>
      </c>
      <c r="C35" s="41">
        <v>1</v>
      </c>
      <c r="D35" s="41">
        <f>C35/1000</f>
        <v>1E-3</v>
      </c>
      <c r="E35" s="41">
        <v>22</v>
      </c>
      <c r="F35" s="41">
        <f>E35+273.15</f>
        <v>295.14999999999998</v>
      </c>
      <c r="G35" s="41">
        <v>0.999</v>
      </c>
      <c r="H35" s="42">
        <v>2695</v>
      </c>
      <c r="I35" s="44">
        <v>8.2057000000000005E-2</v>
      </c>
      <c r="J35" s="41">
        <f>G35*D35/I35/F35</f>
        <v>4.1248396042803955E-5</v>
      </c>
      <c r="K35" s="41">
        <f>J35*B35/1000000</f>
        <v>9.186430282692869E-10</v>
      </c>
      <c r="L35" s="45">
        <f>K35*1000000000</f>
        <v>0.9186430282692869</v>
      </c>
      <c r="M35" s="43">
        <f>INDEX(LINEST($H35:$H39,$L35:$L39^{1,2}),1,1)</f>
        <v>-172.07175414176726</v>
      </c>
      <c r="N35" s="31">
        <f>INDEX(LINEST($H35:$H39,$L35:$L39^{1,2}),1,2)</f>
        <v>3001.7797304776768</v>
      </c>
      <c r="O35" s="46">
        <f>INDEX(LINEST($H35:$H39,$L35:$L39^{1,2}),1,3)</f>
        <v>49.107600475215747</v>
      </c>
      <c r="P35" s="47">
        <v>23.73</v>
      </c>
      <c r="Q35" s="41">
        <v>74.84</v>
      </c>
      <c r="R35" s="41">
        <f>Q35/1000</f>
        <v>7.4840000000000004E-2</v>
      </c>
      <c r="S35" s="42">
        <v>8000</v>
      </c>
      <c r="T35" s="48">
        <f>(-$N$35+SQRT($N$35*$N$35-4*$M$35*($O$35-S35)))/(2*$M$35)</f>
        <v>3.2567030322026072</v>
      </c>
      <c r="U35" s="49">
        <f>T35/R35</f>
        <v>43.515540248565031</v>
      </c>
      <c r="V35" s="50">
        <f>U35/(1+P35/1000)</f>
        <v>42.506852635524048</v>
      </c>
    </row>
    <row r="36" spans="1:22" s="1" customFormat="1" ht="13.5" customHeight="1">
      <c r="A36" s="34" t="s">
        <v>13</v>
      </c>
      <c r="B36" s="6">
        <v>22.271000000000001</v>
      </c>
      <c r="C36" s="6">
        <v>2</v>
      </c>
      <c r="D36" s="6">
        <f>C36/1000</f>
        <v>2E-3</v>
      </c>
      <c r="E36" s="6">
        <v>22</v>
      </c>
      <c r="F36" s="6">
        <f>E36+273.15</f>
        <v>295.14999999999998</v>
      </c>
      <c r="G36" s="6">
        <v>0.999</v>
      </c>
      <c r="H36" s="7">
        <v>4950</v>
      </c>
      <c r="I36" s="5">
        <v>8.2057000000000005E-2</v>
      </c>
      <c r="J36" s="6">
        <f>G36*D36/I36/F36</f>
        <v>8.249679208560791E-5</v>
      </c>
      <c r="K36" s="6">
        <f>J36*B36/1000000</f>
        <v>1.8372860565385738E-9</v>
      </c>
      <c r="L36" s="8">
        <f t="shared" ref="L36:L37" si="2">K36*1000000000</f>
        <v>1.8372860565385738</v>
      </c>
      <c r="M36" s="11"/>
      <c r="N36" s="6"/>
      <c r="O36" s="6"/>
      <c r="P36" s="26">
        <v>23.73</v>
      </c>
      <c r="Q36" s="6">
        <v>74.680000000000007</v>
      </c>
      <c r="R36" s="6">
        <f t="shared" ref="R36:R37" si="3">Q36/1000</f>
        <v>7.468000000000001E-2</v>
      </c>
      <c r="S36" s="7">
        <v>8284.1</v>
      </c>
      <c r="T36" s="14">
        <f t="shared" ref="T36:T39" si="4">(-$N$35+SQRT($N$35*$N$35-4*$M$35*($O$35-S36)))/(2*$M$35)</f>
        <v>3.4098857296434386</v>
      </c>
      <c r="U36" s="10">
        <f>T36/R36</f>
        <v>45.659958886494884</v>
      </c>
      <c r="V36" s="13">
        <f>U36/(1+P36/1000)</f>
        <v>44.60156377804195</v>
      </c>
    </row>
    <row r="37" spans="1:22" s="17" customFormat="1" ht="13.5" customHeight="1">
      <c r="A37" s="34" t="s">
        <v>13</v>
      </c>
      <c r="B37" s="6">
        <v>22.271000000000001</v>
      </c>
      <c r="C37" s="6">
        <v>3</v>
      </c>
      <c r="D37" s="6">
        <f>C37/1000</f>
        <v>3.0000000000000001E-3</v>
      </c>
      <c r="E37" s="6">
        <v>22</v>
      </c>
      <c r="F37" s="6">
        <f>E37+273.15</f>
        <v>295.14999999999998</v>
      </c>
      <c r="G37" s="6">
        <v>0.999</v>
      </c>
      <c r="H37" s="7">
        <v>7026</v>
      </c>
      <c r="I37" s="5">
        <v>8.2057000000000005E-2</v>
      </c>
      <c r="J37" s="6">
        <f>G37*D37/I37/F37</f>
        <v>1.2374518812841186E-4</v>
      </c>
      <c r="K37" s="6">
        <f>J37*B37/1000000</f>
        <v>2.7559290848078608E-9</v>
      </c>
      <c r="L37" s="8">
        <f t="shared" si="2"/>
        <v>2.7559290848078608</v>
      </c>
      <c r="M37" s="6"/>
      <c r="N37" s="6"/>
      <c r="O37" s="6"/>
      <c r="P37" s="26">
        <v>23.73</v>
      </c>
      <c r="Q37" s="6">
        <v>74.56</v>
      </c>
      <c r="R37" s="6">
        <f t="shared" si="3"/>
        <v>7.4560000000000001E-2</v>
      </c>
      <c r="S37" s="7">
        <v>8130.3</v>
      </c>
      <c r="T37" s="14">
        <f t="shared" si="4"/>
        <v>3.3264190715701059</v>
      </c>
      <c r="U37" s="10">
        <f>T37/R37</f>
        <v>44.613989693805067</v>
      </c>
      <c r="V37" s="13">
        <f>U37/(1+P37/1000)</f>
        <v>43.579840088504845</v>
      </c>
    </row>
    <row r="38" spans="1:22" s="17" customFormat="1" ht="13.5" customHeight="1">
      <c r="A38" s="34" t="s">
        <v>68</v>
      </c>
      <c r="B38" s="6">
        <v>0.32529999999999998</v>
      </c>
      <c r="C38" s="6">
        <v>2</v>
      </c>
      <c r="D38" s="6">
        <f t="shared" ref="D38:D39" si="5">C38/1000</f>
        <v>2E-3</v>
      </c>
      <c r="E38" s="6">
        <v>22</v>
      </c>
      <c r="F38" s="6">
        <f t="shared" ref="F38:F39" si="6">E38+273.15</f>
        <v>295.14999999999998</v>
      </c>
      <c r="G38" s="6">
        <v>0.999</v>
      </c>
      <c r="H38" s="7">
        <v>113</v>
      </c>
      <c r="I38" s="5">
        <v>8.2057000000000005E-2</v>
      </c>
      <c r="J38" s="6">
        <f t="shared" ref="J38:J39" si="7">G38*D38/I38/F38</f>
        <v>8.249679208560791E-5</v>
      </c>
      <c r="K38" s="6">
        <f t="shared" ref="K38:K39" si="8">J38*B38/1000000</f>
        <v>2.6836206465448251E-11</v>
      </c>
      <c r="L38" s="8">
        <f t="shared" ref="L38:L39" si="9">K38*1000000000</f>
        <v>2.6836206465448251E-2</v>
      </c>
      <c r="M38" s="6"/>
      <c r="N38" s="6"/>
      <c r="O38" s="6"/>
      <c r="P38" s="26">
        <v>23.73</v>
      </c>
      <c r="Q38" s="6">
        <v>74.7</v>
      </c>
      <c r="R38" s="6">
        <f t="shared" ref="R38:R39" si="10">Q38/1000</f>
        <v>7.4700000000000003E-2</v>
      </c>
      <c r="S38" s="7">
        <v>1575.1</v>
      </c>
      <c r="T38" s="14">
        <f t="shared" si="4"/>
        <v>0.52410866643431908</v>
      </c>
      <c r="U38" s="10">
        <f t="shared" ref="U38:U39" si="11">T38/R38</f>
        <v>7.0161802735517949</v>
      </c>
      <c r="V38" s="13">
        <f t="shared" ref="V38:V39" si="12">U38/(1+P38/1000)</f>
        <v>6.8535456356185662</v>
      </c>
    </row>
    <row r="39" spans="1:22" s="17" customFormat="1" ht="13.5" customHeight="1">
      <c r="A39" s="35" t="s">
        <v>68</v>
      </c>
      <c r="B39" s="28">
        <v>0.32529999999999998</v>
      </c>
      <c r="C39" s="28">
        <v>5</v>
      </c>
      <c r="D39" s="28">
        <f t="shared" si="5"/>
        <v>5.0000000000000001E-3</v>
      </c>
      <c r="E39" s="28">
        <v>22</v>
      </c>
      <c r="F39" s="28">
        <f t="shared" si="6"/>
        <v>295.14999999999998</v>
      </c>
      <c r="G39" s="28">
        <v>0.999</v>
      </c>
      <c r="H39" s="29">
        <v>255</v>
      </c>
      <c r="I39" s="32">
        <v>8.2057000000000005E-2</v>
      </c>
      <c r="J39" s="28">
        <f t="shared" si="7"/>
        <v>2.0624198021401978E-4</v>
      </c>
      <c r="K39" s="28">
        <f t="shared" si="8"/>
        <v>6.7090516163620628E-11</v>
      </c>
      <c r="L39" s="33">
        <f t="shared" si="9"/>
        <v>6.7090516163620634E-2</v>
      </c>
      <c r="M39" s="6"/>
      <c r="N39" s="6"/>
      <c r="O39" s="6"/>
      <c r="P39" s="27">
        <v>23.73</v>
      </c>
      <c r="Q39" s="28">
        <v>76.69</v>
      </c>
      <c r="R39" s="28">
        <f t="shared" si="10"/>
        <v>7.6689999999999994E-2</v>
      </c>
      <c r="S39" s="29">
        <v>1601.5</v>
      </c>
      <c r="T39" s="22">
        <f t="shared" si="4"/>
        <v>0.53347103210601643</v>
      </c>
      <c r="U39" s="23">
        <f t="shared" si="11"/>
        <v>6.9562007055159274</v>
      </c>
      <c r="V39" s="24">
        <f t="shared" si="12"/>
        <v>6.7949563903723904</v>
      </c>
    </row>
    <row r="41" spans="1:22" s="1" customFormat="1" ht="13.5" customHeight="1">
      <c r="A41" s="17" t="s">
        <v>21</v>
      </c>
      <c r="B41" s="17" t="s">
        <v>20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2"/>
      <c r="P41" s="6"/>
      <c r="Q41" s="11"/>
      <c r="R41" s="11"/>
      <c r="S41" s="10"/>
      <c r="T41" s="9"/>
      <c r="U41" s="10"/>
    </row>
    <row r="42" spans="1:22" ht="15.75">
      <c r="A42" s="20" t="s">
        <v>22</v>
      </c>
      <c r="B42" s="19" t="s">
        <v>23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2" ht="15.75">
      <c r="A43" s="20" t="s">
        <v>24</v>
      </c>
      <c r="B43" s="19" t="s">
        <v>25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2" ht="15.75">
      <c r="A44" s="20" t="s">
        <v>26</v>
      </c>
      <c r="B44" s="19" t="s">
        <v>27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2" ht="15.75">
      <c r="A45" s="20" t="s">
        <v>28</v>
      </c>
      <c r="B45" s="21" t="s">
        <v>29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2" ht="15.75">
      <c r="A46" s="20" t="s">
        <v>30</v>
      </c>
      <c r="B46" s="21" t="s">
        <v>31</v>
      </c>
    </row>
    <row r="47" spans="1:22" ht="15.75">
      <c r="A47" s="20" t="s">
        <v>32</v>
      </c>
      <c r="B47" s="21" t="s">
        <v>33</v>
      </c>
    </row>
    <row r="48" spans="1:22" ht="15.75">
      <c r="A48" s="20" t="s">
        <v>36</v>
      </c>
      <c r="B48" s="21" t="s">
        <v>35</v>
      </c>
    </row>
    <row r="49" spans="1:2" ht="15.75">
      <c r="A49" s="20" t="s">
        <v>34</v>
      </c>
      <c r="B49" s="21" t="s">
        <v>61</v>
      </c>
    </row>
    <row r="50" spans="1:2" ht="15.75">
      <c r="A50" s="20" t="s">
        <v>37</v>
      </c>
      <c r="B50" t="s">
        <v>58</v>
      </c>
    </row>
    <row r="51" spans="1:2" ht="15.75">
      <c r="A51" s="20" t="s">
        <v>38</v>
      </c>
      <c r="B51" t="s">
        <v>78</v>
      </c>
    </row>
    <row r="52" spans="1:2" ht="15.75">
      <c r="A52" s="20" t="s">
        <v>39</v>
      </c>
      <c r="B52" t="s">
        <v>79</v>
      </c>
    </row>
    <row r="53" spans="1:2" ht="15.75">
      <c r="A53" s="20" t="s">
        <v>40</v>
      </c>
      <c r="B53" t="s">
        <v>83</v>
      </c>
    </row>
    <row r="54" spans="1:2" ht="15.75">
      <c r="A54" s="20" t="s">
        <v>41</v>
      </c>
      <c r="B54" t="s">
        <v>84</v>
      </c>
    </row>
    <row r="55" spans="1:2" ht="15.75">
      <c r="A55" s="20" t="s">
        <v>42</v>
      </c>
      <c r="B55" t="s">
        <v>85</v>
      </c>
    </row>
    <row r="56" spans="1:2" ht="15.75">
      <c r="A56" s="20" t="s">
        <v>45</v>
      </c>
      <c r="B56" t="s">
        <v>46</v>
      </c>
    </row>
    <row r="57" spans="1:2" ht="15.75">
      <c r="A57" s="20" t="s">
        <v>47</v>
      </c>
      <c r="B57" t="s">
        <v>48</v>
      </c>
    </row>
    <row r="58" spans="1:2" ht="15.75">
      <c r="A58" s="20" t="s">
        <v>50</v>
      </c>
      <c r="B58" t="s">
        <v>49</v>
      </c>
    </row>
    <row r="59" spans="1:2" ht="15.75">
      <c r="A59" s="20" t="s">
        <v>52</v>
      </c>
      <c r="B59" s="21" t="s">
        <v>51</v>
      </c>
    </row>
    <row r="60" spans="1:2" ht="15.75">
      <c r="A60" s="20" t="s">
        <v>53</v>
      </c>
      <c r="B60" s="21" t="s">
        <v>80</v>
      </c>
    </row>
    <row r="61" spans="1:2" ht="15.75">
      <c r="A61" s="20" t="s">
        <v>54</v>
      </c>
      <c r="B61" s="21" t="s">
        <v>81</v>
      </c>
    </row>
    <row r="62" spans="1:2" ht="15.75">
      <c r="A62" s="20" t="s">
        <v>77</v>
      </c>
      <c r="B62" s="21" t="s">
        <v>82</v>
      </c>
    </row>
  </sheetData>
  <mergeCells count="8">
    <mergeCell ref="A3:H3"/>
    <mergeCell ref="I3:N3"/>
    <mergeCell ref="O3:R3"/>
    <mergeCell ref="S3:U3"/>
    <mergeCell ref="A33:H33"/>
    <mergeCell ref="I33:N33"/>
    <mergeCell ref="P33:S33"/>
    <mergeCell ref="T33:V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73"/>
  <sheetViews>
    <sheetView workbookViewId="0">
      <selection activeCell="B72" sqref="B72"/>
    </sheetView>
  </sheetViews>
  <sheetFormatPr defaultColWidth="8.85546875" defaultRowHeight="15"/>
  <cols>
    <col min="1" max="1" width="22.28515625" customWidth="1"/>
    <col min="2" max="2" width="21.28515625" customWidth="1"/>
    <col min="3" max="3" width="22.28515625" customWidth="1"/>
    <col min="4" max="4" width="19.42578125" customWidth="1"/>
    <col min="5" max="5" width="18.42578125" customWidth="1"/>
    <col min="6" max="6" width="17.7109375" customWidth="1"/>
    <col min="7" max="7" width="11.42578125" customWidth="1"/>
    <col min="8" max="8" width="15.28515625" customWidth="1"/>
    <col min="9" max="9" width="11.7109375" customWidth="1"/>
    <col min="10" max="10" width="14.85546875" customWidth="1"/>
    <col min="11" max="11" width="12.7109375" customWidth="1"/>
    <col min="12" max="12" width="13.7109375" customWidth="1"/>
    <col min="13" max="14" width="9" bestFit="1" customWidth="1"/>
    <col min="15" max="15" width="10.85546875" customWidth="1"/>
    <col min="16" max="16" width="9" bestFit="1" customWidth="1"/>
    <col min="17" max="17" width="17.42578125" customWidth="1"/>
    <col min="18" max="21" width="9" bestFit="1" customWidth="1"/>
    <col min="22" max="22" width="9" customWidth="1"/>
    <col min="23" max="23" width="9.42578125" bestFit="1" customWidth="1"/>
    <col min="24" max="24" width="9" bestFit="1" customWidth="1"/>
    <col min="25" max="25" width="10.7109375" bestFit="1" customWidth="1"/>
    <col min="26" max="26" width="9" bestFit="1" customWidth="1"/>
    <col min="27" max="27" width="21.140625" customWidth="1"/>
    <col min="28" max="28" width="11" customWidth="1"/>
    <col min="29" max="29" width="20" customWidth="1"/>
    <col min="31" max="31" width="12.140625" bestFit="1" customWidth="1"/>
  </cols>
  <sheetData>
    <row r="1" spans="1:30">
      <c r="A1" s="37" t="s">
        <v>132</v>
      </c>
    </row>
    <row r="2" spans="1:30" ht="15.75">
      <c r="A2" s="37"/>
      <c r="E2" s="37" t="s">
        <v>133</v>
      </c>
      <c r="S2" s="51" t="s">
        <v>134</v>
      </c>
      <c r="T2" s="52"/>
      <c r="U2" s="52"/>
      <c r="V2" s="52"/>
      <c r="W2" s="52"/>
      <c r="X2" s="52"/>
      <c r="Y2" s="52"/>
      <c r="Z2" s="52"/>
    </row>
    <row r="3" spans="1:30" s="1" customFormat="1" ht="13.5" customHeight="1">
      <c r="A3" s="91" t="s">
        <v>62</v>
      </c>
      <c r="B3" s="103"/>
      <c r="C3" s="103"/>
      <c r="D3" s="103"/>
      <c r="E3" s="104" t="s">
        <v>89</v>
      </c>
      <c r="F3" s="105"/>
      <c r="G3" s="106" t="s">
        <v>90</v>
      </c>
      <c r="H3" s="107"/>
      <c r="I3" s="107"/>
      <c r="J3" s="108"/>
      <c r="K3" s="109" t="s">
        <v>91</v>
      </c>
      <c r="L3" s="110"/>
      <c r="M3" s="110"/>
      <c r="N3" s="110"/>
      <c r="O3" s="110"/>
      <c r="P3" s="110"/>
      <c r="Q3" s="110"/>
      <c r="R3" s="111"/>
      <c r="S3" s="112" t="s">
        <v>92</v>
      </c>
      <c r="T3" s="113"/>
      <c r="U3" s="113"/>
      <c r="V3" s="113"/>
      <c r="W3" s="113"/>
      <c r="X3" s="113"/>
      <c r="Y3" s="113"/>
      <c r="Z3" s="113"/>
      <c r="AA3" s="113"/>
      <c r="AB3" s="100" t="s">
        <v>66</v>
      </c>
      <c r="AC3" s="102"/>
      <c r="AD3"/>
    </row>
    <row r="4" spans="1:30" s="1" customFormat="1" ht="29.1" customHeight="1">
      <c r="A4" s="2" t="s">
        <v>0</v>
      </c>
      <c r="B4" s="2" t="s">
        <v>2</v>
      </c>
      <c r="C4" s="15" t="s">
        <v>3</v>
      </c>
      <c r="D4" s="15" t="s">
        <v>4</v>
      </c>
      <c r="E4" s="53" t="s">
        <v>94</v>
      </c>
      <c r="F4" s="53" t="s">
        <v>12</v>
      </c>
      <c r="G4" s="54" t="s">
        <v>95</v>
      </c>
      <c r="H4" s="54" t="s">
        <v>96</v>
      </c>
      <c r="I4" s="54" t="s">
        <v>97</v>
      </c>
      <c r="J4" s="54" t="s">
        <v>14</v>
      </c>
      <c r="K4" s="55" t="s">
        <v>98</v>
      </c>
      <c r="L4" s="55" t="s">
        <v>99</v>
      </c>
      <c r="M4" s="55" t="s">
        <v>100</v>
      </c>
      <c r="N4" s="55" t="s">
        <v>101</v>
      </c>
      <c r="O4" s="55" t="s">
        <v>102</v>
      </c>
      <c r="P4" s="55" t="s">
        <v>103</v>
      </c>
      <c r="Q4" s="81" t="s">
        <v>137</v>
      </c>
      <c r="R4" s="56" t="s">
        <v>104</v>
      </c>
      <c r="S4" s="57" t="s">
        <v>105</v>
      </c>
      <c r="T4" s="58" t="s">
        <v>106</v>
      </c>
      <c r="U4" s="58" t="s">
        <v>107</v>
      </c>
      <c r="V4" s="58" t="s">
        <v>108</v>
      </c>
      <c r="W4" s="58" t="s">
        <v>109</v>
      </c>
      <c r="X4" s="58" t="s">
        <v>110</v>
      </c>
      <c r="Y4" s="58" t="s">
        <v>111</v>
      </c>
      <c r="Z4" s="84" t="s">
        <v>112</v>
      </c>
      <c r="AA4" s="84" t="s">
        <v>146</v>
      </c>
      <c r="AB4" s="4" t="s">
        <v>17</v>
      </c>
      <c r="AC4" s="4" t="s">
        <v>18</v>
      </c>
    </row>
    <row r="5" spans="1:30" s="1" customFormat="1" ht="13.5" customHeight="1">
      <c r="A5" s="60" t="s">
        <v>113</v>
      </c>
      <c r="B5" s="61">
        <v>0</v>
      </c>
      <c r="C5" s="6">
        <v>1</v>
      </c>
      <c r="D5" s="62">
        <v>0</v>
      </c>
      <c r="E5" s="73">
        <v>9.3619199999999996</v>
      </c>
      <c r="F5" s="73">
        <v>0</v>
      </c>
      <c r="G5" s="63" t="s">
        <v>114</v>
      </c>
      <c r="H5" s="63">
        <v>23.6</v>
      </c>
      <c r="I5" s="63">
        <v>34.97</v>
      </c>
      <c r="J5" s="63">
        <v>1023.73</v>
      </c>
      <c r="K5" s="64">
        <v>1</v>
      </c>
      <c r="L5" s="64">
        <v>20.9</v>
      </c>
      <c r="M5" s="64">
        <v>241.8</v>
      </c>
      <c r="N5" s="65">
        <f t="shared" ref="N5:N8" si="0">M5-19.7</f>
        <v>222.10000000000002</v>
      </c>
      <c r="O5" s="65">
        <v>19.7</v>
      </c>
      <c r="P5" s="65">
        <v>4.34</v>
      </c>
      <c r="Q5" s="67">
        <f>(P5-F5)*1000/(E5)</f>
        <v>463.58012031719988</v>
      </c>
      <c r="R5" s="67">
        <v>0</v>
      </c>
      <c r="S5" s="65">
        <v>-415.28070000000002</v>
      </c>
      <c r="T5" s="65">
        <v>596.81039999999996</v>
      </c>
      <c r="U5" s="65">
        <v>379.25990000000002</v>
      </c>
      <c r="V5" s="65">
        <v>-62.075699999999998</v>
      </c>
      <c r="W5" s="65">
        <v>-5.9159999999999997E-2</v>
      </c>
      <c r="X5" s="65">
        <v>3.2174000000000001E-2</v>
      </c>
      <c r="Y5" s="65">
        <v>-4.8198E-3</v>
      </c>
      <c r="Z5" s="65">
        <v>8.2057459999999999E-2</v>
      </c>
      <c r="AA5" s="85">
        <f>(EXP(S5+T5*(100/(273.15+L5))+U5*LN(((273.15+L5)/100))+V5*(((273.15+L5)/100))+I5*(W5+X5*((273.15+L5)/100)+Y5*(((273.15+L5)/100)*((273.15+L5)/100)))))</f>
        <v>1193224.160618125</v>
      </c>
      <c r="AB5" s="69">
        <f>(($AA5)*$N5*$Q5*0.000000001+(Q5-R5)*$O5/((273.15+$H5)*Z5))/$N5</f>
        <v>2.241781786325538</v>
      </c>
      <c r="AC5" s="70">
        <f>AB5*1000/J5</f>
        <v>2.1898174189733015</v>
      </c>
    </row>
    <row r="6" spans="1:30" s="1" customFormat="1" ht="13.5" customHeight="1">
      <c r="A6" s="60" t="s">
        <v>116</v>
      </c>
      <c r="B6" s="61">
        <v>3</v>
      </c>
      <c r="C6" s="6">
        <v>1</v>
      </c>
      <c r="D6" s="62">
        <v>28.324000000000002</v>
      </c>
      <c r="E6" s="72">
        <v>9.3619199999999996</v>
      </c>
      <c r="F6" s="73">
        <v>0</v>
      </c>
      <c r="G6" s="63" t="s">
        <v>114</v>
      </c>
      <c r="H6" s="63">
        <v>23.6</v>
      </c>
      <c r="I6" s="63">
        <v>34.97</v>
      </c>
      <c r="J6" s="63">
        <v>1023.73</v>
      </c>
      <c r="K6" s="64">
        <v>1</v>
      </c>
      <c r="L6" s="64">
        <v>20.9</v>
      </c>
      <c r="M6" s="64">
        <v>238.7</v>
      </c>
      <c r="N6" s="65">
        <f t="shared" si="0"/>
        <v>219</v>
      </c>
      <c r="O6" s="65">
        <v>19.7</v>
      </c>
      <c r="P6" s="65">
        <v>4.45</v>
      </c>
      <c r="Q6" s="67">
        <f t="shared" ref="Q6:Q8" si="1">(P6-F6)*1000/(E6)</f>
        <v>475.32984686901835</v>
      </c>
      <c r="R6" s="67">
        <v>0</v>
      </c>
      <c r="S6" s="65">
        <v>-415.28070000000002</v>
      </c>
      <c r="T6" s="65">
        <v>596.81039999999996</v>
      </c>
      <c r="U6" s="65">
        <v>379.25990000000002</v>
      </c>
      <c r="V6" s="65">
        <v>-62.075699999999998</v>
      </c>
      <c r="W6" s="65">
        <v>-5.9159999999999997E-2</v>
      </c>
      <c r="X6" s="65">
        <v>3.2174000000000001E-2</v>
      </c>
      <c r="Y6" s="65">
        <v>-4.8198E-3</v>
      </c>
      <c r="Z6" s="65">
        <v>8.2057459999999999E-2</v>
      </c>
      <c r="AA6" s="85">
        <f t="shared" ref="AA6:AA9" si="2">(EXP(S6+T6*(100/(273.15+L6))+U6*LN(((273.15+L6)/100))+V6*(((273.15+L6)/100))+I6*(W6+X6*((273.15+L6)/100)+Y6*(((273.15+L6)/100)*((273.15+L6)/100)))))</f>
        <v>1193224.160618125</v>
      </c>
      <c r="AB6" s="69">
        <f t="shared" ref="AB6:AB9" si="3">(($AA6)*$N6*$Q6*0.000000001+(Q6-R6)*$O6/((273.15+$H6)*Z6))/$N6</f>
        <v>2.3231099113920379</v>
      </c>
      <c r="AC6" s="70">
        <f t="shared" ref="AC6:AC9" si="4">AB6*1000/J6</f>
        <v>2.269260362978557</v>
      </c>
    </row>
    <row r="7" spans="1:30" s="1" customFormat="1" ht="13.5" customHeight="1">
      <c r="A7" s="60" t="s">
        <v>117</v>
      </c>
      <c r="B7" s="61">
        <v>4.8659999999999997</v>
      </c>
      <c r="C7" s="6">
        <v>1</v>
      </c>
      <c r="D7" s="62">
        <v>47.36333333333333</v>
      </c>
      <c r="E7" s="72">
        <v>9.3619199999999996</v>
      </c>
      <c r="F7" s="73">
        <v>0</v>
      </c>
      <c r="G7" s="63" t="s">
        <v>114</v>
      </c>
      <c r="H7" s="63">
        <v>23.6</v>
      </c>
      <c r="I7" s="63">
        <v>34.97</v>
      </c>
      <c r="J7" s="63">
        <v>1023.73</v>
      </c>
      <c r="K7" s="64">
        <v>1</v>
      </c>
      <c r="L7" s="64">
        <v>20.9</v>
      </c>
      <c r="M7" s="64">
        <v>243.1</v>
      </c>
      <c r="N7" s="65">
        <f t="shared" si="0"/>
        <v>223.4</v>
      </c>
      <c r="O7" s="65">
        <v>19.7</v>
      </c>
      <c r="P7" s="65">
        <v>4.26</v>
      </c>
      <c r="Q7" s="67">
        <f t="shared" si="1"/>
        <v>455.03486464315017</v>
      </c>
      <c r="R7" s="67">
        <v>0</v>
      </c>
      <c r="S7" s="65">
        <v>-415.28070000000002</v>
      </c>
      <c r="T7" s="65">
        <v>596.81039999999996</v>
      </c>
      <c r="U7" s="65">
        <v>379.25990000000002</v>
      </c>
      <c r="V7" s="65">
        <v>-62.075699999999998</v>
      </c>
      <c r="W7" s="65">
        <v>-5.9159999999999997E-2</v>
      </c>
      <c r="X7" s="65">
        <v>3.2174000000000001E-2</v>
      </c>
      <c r="Y7" s="65">
        <v>-4.8198E-3</v>
      </c>
      <c r="Z7" s="65">
        <v>8.2057459999999999E-2</v>
      </c>
      <c r="AA7" s="85">
        <f t="shared" si="2"/>
        <v>1193224.160618125</v>
      </c>
      <c r="AB7" s="69">
        <f t="shared" si="3"/>
        <v>2.1908133644621421</v>
      </c>
      <c r="AC7" s="70">
        <f t="shared" si="4"/>
        <v>2.1400304420717786</v>
      </c>
    </row>
    <row r="8" spans="1:30" s="1" customFormat="1" ht="13.5" customHeight="1">
      <c r="A8" s="34" t="s">
        <v>115</v>
      </c>
      <c r="B8" s="80">
        <v>1.9590000000000001</v>
      </c>
      <c r="C8" s="6">
        <v>1</v>
      </c>
      <c r="D8" s="62">
        <v>18.264000000000003</v>
      </c>
      <c r="E8" s="72">
        <v>9.3619199999999996</v>
      </c>
      <c r="F8" s="73">
        <v>0</v>
      </c>
      <c r="G8" s="63" t="s">
        <v>114</v>
      </c>
      <c r="H8" s="63">
        <v>23.6</v>
      </c>
      <c r="I8" s="63">
        <v>34.97</v>
      </c>
      <c r="J8" s="63">
        <v>1023.73</v>
      </c>
      <c r="K8" s="64">
        <v>1</v>
      </c>
      <c r="L8" s="64">
        <v>20.9</v>
      </c>
      <c r="M8" s="64">
        <v>242.3</v>
      </c>
      <c r="N8" s="65">
        <f t="shared" si="0"/>
        <v>222.60000000000002</v>
      </c>
      <c r="O8" s="65">
        <v>19.7</v>
      </c>
      <c r="P8" s="65">
        <v>4.41</v>
      </c>
      <c r="Q8" s="67">
        <f t="shared" si="1"/>
        <v>471.05721903199344</v>
      </c>
      <c r="R8" s="67">
        <v>0</v>
      </c>
      <c r="S8" s="65">
        <v>-415.28070000000002</v>
      </c>
      <c r="T8" s="65">
        <v>596.81039999999996</v>
      </c>
      <c r="U8" s="65">
        <v>379.25990000000002</v>
      </c>
      <c r="V8" s="65">
        <v>-62.075699999999998</v>
      </c>
      <c r="W8" s="65">
        <v>-5.9159999999999997E-2</v>
      </c>
      <c r="X8" s="65">
        <v>3.2174000000000001E-2</v>
      </c>
      <c r="Y8" s="65">
        <v>-4.8198E-3</v>
      </c>
      <c r="Z8" s="65">
        <v>8.2057459999999999E-2</v>
      </c>
      <c r="AA8" s="85">
        <f t="shared" si="2"/>
        <v>1193224.160618125</v>
      </c>
      <c r="AB8" s="69">
        <f t="shared" si="3"/>
        <v>2.2740854180289456</v>
      </c>
      <c r="AC8" s="70">
        <f t="shared" si="4"/>
        <v>2.2213722544312913</v>
      </c>
    </row>
    <row r="9" spans="1:30" s="1" customFormat="1" ht="13.5" customHeight="1">
      <c r="A9" s="60" t="s">
        <v>135</v>
      </c>
      <c r="B9" s="80">
        <v>4.827</v>
      </c>
      <c r="C9" s="6">
        <v>1</v>
      </c>
      <c r="D9" s="62">
        <v>47.114666666666672</v>
      </c>
      <c r="E9" s="72">
        <v>9.3619199999999996</v>
      </c>
      <c r="F9" s="73">
        <v>0</v>
      </c>
      <c r="G9" s="63" t="s">
        <v>114</v>
      </c>
      <c r="H9" s="63">
        <v>23.6</v>
      </c>
      <c r="I9" s="63">
        <v>34.97</v>
      </c>
      <c r="J9" s="63">
        <v>1023.73</v>
      </c>
      <c r="K9" s="64">
        <v>1</v>
      </c>
      <c r="L9" s="64">
        <v>20.9</v>
      </c>
      <c r="M9" s="64">
        <v>242.3</v>
      </c>
      <c r="N9" s="65">
        <f t="shared" ref="N9" si="5">M9-19.7</f>
        <v>222.60000000000002</v>
      </c>
      <c r="O9" s="65">
        <v>19.7</v>
      </c>
      <c r="P9" s="65">
        <v>4.41</v>
      </c>
      <c r="Q9" s="67">
        <f>(P9-F9)*1000/(E9)</f>
        <v>471.05721903199344</v>
      </c>
      <c r="R9" s="67">
        <v>0</v>
      </c>
      <c r="S9" s="65">
        <v>-415.28070000000002</v>
      </c>
      <c r="T9" s="65">
        <v>596.81039999999996</v>
      </c>
      <c r="U9" s="65">
        <v>379.25990000000002</v>
      </c>
      <c r="V9" s="65">
        <v>-62.075699999999998</v>
      </c>
      <c r="W9" s="65">
        <v>-5.9159999999999997E-2</v>
      </c>
      <c r="X9" s="65">
        <v>3.2174000000000001E-2</v>
      </c>
      <c r="Y9" s="65">
        <v>-4.8198E-3</v>
      </c>
      <c r="Z9" s="65">
        <v>8.2057459999999999E-2</v>
      </c>
      <c r="AA9" s="85">
        <f t="shared" si="2"/>
        <v>1193224.160618125</v>
      </c>
      <c r="AB9" s="69">
        <f t="shared" si="3"/>
        <v>2.2740854180289456</v>
      </c>
      <c r="AC9" s="70">
        <f t="shared" si="4"/>
        <v>2.2213722544312913</v>
      </c>
    </row>
    <row r="10" spans="1:30" s="1" customFormat="1" ht="13.5" customHeight="1">
      <c r="A10" s="17"/>
      <c r="B10" s="6"/>
      <c r="C10" s="6"/>
      <c r="D10" s="6"/>
      <c r="G10" s="6"/>
      <c r="H10" s="6"/>
      <c r="I10" s="6"/>
      <c r="J10" s="10"/>
    </row>
    <row r="11" spans="1:30" s="1" customFormat="1" ht="13.5" customHeight="1">
      <c r="A11" s="17"/>
      <c r="B11" s="6"/>
      <c r="C11" s="6"/>
      <c r="D11" s="10"/>
    </row>
    <row r="12" spans="1:30" s="1" customFormat="1" ht="13.5" customHeight="1">
      <c r="A12" s="17" t="s">
        <v>21</v>
      </c>
      <c r="B12" s="17" t="s">
        <v>20</v>
      </c>
      <c r="C12" s="17"/>
      <c r="D12" s="17"/>
    </row>
    <row r="13" spans="1:30" s="1" customFormat="1" ht="15.75">
      <c r="A13" s="20" t="s">
        <v>22</v>
      </c>
      <c r="B13" s="17" t="s">
        <v>23</v>
      </c>
      <c r="C13" s="17"/>
      <c r="D13" s="17"/>
    </row>
    <row r="14" spans="1:30" s="1" customFormat="1" ht="15.75">
      <c r="A14" s="20" t="s">
        <v>24</v>
      </c>
      <c r="B14" s="17" t="s">
        <v>25</v>
      </c>
      <c r="C14" s="17"/>
      <c r="D14" s="17"/>
    </row>
    <row r="15" spans="1:30" s="1" customFormat="1" ht="15.75">
      <c r="A15" s="20" t="s">
        <v>26</v>
      </c>
      <c r="B15" s="20" t="s">
        <v>35</v>
      </c>
      <c r="C15" s="17"/>
      <c r="D15" s="17"/>
    </row>
    <row r="16" spans="1:30" s="1" customFormat="1" ht="15.75">
      <c r="A16" s="20" t="s">
        <v>28</v>
      </c>
      <c r="B16" s="1" t="s">
        <v>43</v>
      </c>
      <c r="C16" s="17"/>
    </row>
    <row r="17" spans="1:28" s="1" customFormat="1" ht="15.75">
      <c r="A17" s="20" t="s">
        <v>30</v>
      </c>
      <c r="B17" s="1" t="s">
        <v>44</v>
      </c>
      <c r="D17" s="20"/>
    </row>
    <row r="18" spans="1:28" s="1" customFormat="1" ht="15.75">
      <c r="A18" s="20" t="s">
        <v>32</v>
      </c>
      <c r="B18" s="20" t="s">
        <v>118</v>
      </c>
      <c r="AB18" s="88"/>
    </row>
    <row r="19" spans="1:28" s="1" customFormat="1" ht="15.75">
      <c r="A19" s="20" t="s">
        <v>36</v>
      </c>
      <c r="B19" s="1" t="s">
        <v>119</v>
      </c>
      <c r="D19" s="20"/>
    </row>
    <row r="20" spans="1:28" s="1" customFormat="1" ht="15.75">
      <c r="A20" s="20" t="s">
        <v>34</v>
      </c>
      <c r="B20" s="20" t="s">
        <v>120</v>
      </c>
      <c r="D20" s="20"/>
    </row>
    <row r="21" spans="1:28" s="1" customFormat="1" ht="15.75">
      <c r="A21" s="20" t="s">
        <v>37</v>
      </c>
      <c r="B21" s="1" t="s">
        <v>121</v>
      </c>
    </row>
    <row r="22" spans="1:28" s="1" customFormat="1" ht="15.75">
      <c r="A22" s="20" t="s">
        <v>38</v>
      </c>
      <c r="B22" s="20" t="s">
        <v>33</v>
      </c>
    </row>
    <row r="23" spans="1:28" s="1" customFormat="1" ht="15.75">
      <c r="A23" s="20" t="s">
        <v>39</v>
      </c>
      <c r="B23" s="20" t="s">
        <v>122</v>
      </c>
    </row>
    <row r="24" spans="1:28" s="1" customFormat="1" ht="15.75">
      <c r="A24" s="20" t="s">
        <v>40</v>
      </c>
      <c r="B24" s="1" t="s">
        <v>123</v>
      </c>
    </row>
    <row r="25" spans="1:28" s="1" customFormat="1" ht="15.75">
      <c r="A25" s="20" t="s">
        <v>41</v>
      </c>
      <c r="B25" s="1" t="s">
        <v>124</v>
      </c>
    </row>
    <row r="26" spans="1:28" s="1" customFormat="1" ht="15.75">
      <c r="A26" s="20" t="s">
        <v>42</v>
      </c>
      <c r="B26" s="1" t="s">
        <v>125</v>
      </c>
    </row>
    <row r="27" spans="1:28" s="1" customFormat="1" ht="15.75">
      <c r="A27" s="20" t="s">
        <v>45</v>
      </c>
      <c r="B27" s="20" t="s">
        <v>51</v>
      </c>
    </row>
    <row r="28" spans="1:28" s="1" customFormat="1" ht="15.75">
      <c r="A28" s="20" t="s">
        <v>47</v>
      </c>
      <c r="B28" s="83" t="s">
        <v>139</v>
      </c>
    </row>
    <row r="29" spans="1:28" s="1" customFormat="1" ht="15.75">
      <c r="A29" s="20" t="s">
        <v>50</v>
      </c>
      <c r="B29" s="82" t="s">
        <v>138</v>
      </c>
    </row>
    <row r="30" spans="1:28" s="1" customFormat="1" ht="15.75">
      <c r="A30" s="86" t="s">
        <v>126</v>
      </c>
      <c r="B30" s="86" t="s">
        <v>141</v>
      </c>
    </row>
    <row r="31" spans="1:28" s="1" customFormat="1" ht="15.75">
      <c r="A31" s="86" t="s">
        <v>127</v>
      </c>
      <c r="B31" s="20" t="s">
        <v>128</v>
      </c>
    </row>
    <row r="32" spans="1:28" s="1" customFormat="1" ht="15.75">
      <c r="A32" s="86" t="s">
        <v>129</v>
      </c>
      <c r="B32" s="86" t="s">
        <v>142</v>
      </c>
    </row>
    <row r="33" spans="1:30" s="1" customFormat="1" ht="15.75">
      <c r="A33" s="20" t="s">
        <v>130</v>
      </c>
      <c r="B33" s="20" t="s">
        <v>56</v>
      </c>
    </row>
    <row r="34" spans="1:30" s="1" customFormat="1" ht="15.75">
      <c r="A34" s="86" t="s">
        <v>131</v>
      </c>
      <c r="B34" s="20" t="s">
        <v>57</v>
      </c>
    </row>
    <row r="35" spans="1:30" s="1" customFormat="1" ht="15.75">
      <c r="A35" s="20"/>
    </row>
    <row r="36" spans="1:30" ht="15.75">
      <c r="A36" s="20"/>
    </row>
    <row r="37" spans="1:30" ht="15.75">
      <c r="A37" s="20"/>
    </row>
    <row r="38" spans="1:30" ht="15.75">
      <c r="A38" s="20"/>
    </row>
    <row r="40" spans="1:30">
      <c r="A40" s="37" t="s">
        <v>86</v>
      </c>
    </row>
    <row r="41" spans="1:30" ht="15.75">
      <c r="A41" s="37"/>
      <c r="E41" s="37" t="s">
        <v>87</v>
      </c>
      <c r="S41" s="51" t="s">
        <v>88</v>
      </c>
      <c r="T41" s="52"/>
      <c r="U41" s="52"/>
      <c r="V41" s="52"/>
      <c r="W41" s="52"/>
      <c r="X41" s="52"/>
      <c r="Y41" s="52"/>
      <c r="Z41" s="52"/>
      <c r="AA41" s="52"/>
    </row>
    <row r="42" spans="1:30" s="1" customFormat="1" ht="13.5" customHeight="1">
      <c r="A42" s="91" t="s">
        <v>62</v>
      </c>
      <c r="B42" s="103"/>
      <c r="C42" s="103"/>
      <c r="D42" s="103"/>
      <c r="E42" s="104" t="s">
        <v>89</v>
      </c>
      <c r="F42" s="105"/>
      <c r="G42" s="106" t="s">
        <v>90</v>
      </c>
      <c r="H42" s="107"/>
      <c r="I42" s="107"/>
      <c r="J42" s="108"/>
      <c r="K42" s="109" t="s">
        <v>91</v>
      </c>
      <c r="L42" s="110"/>
      <c r="M42" s="110"/>
      <c r="N42" s="110"/>
      <c r="O42" s="110"/>
      <c r="P42" s="110"/>
      <c r="Q42" s="110"/>
      <c r="R42" s="111"/>
      <c r="S42" s="112" t="s">
        <v>92</v>
      </c>
      <c r="T42" s="113"/>
      <c r="U42" s="113"/>
      <c r="V42" s="113"/>
      <c r="W42" s="113"/>
      <c r="X42" s="113"/>
      <c r="Y42" s="113"/>
      <c r="Z42" s="113"/>
      <c r="AA42" s="113"/>
      <c r="AB42" s="100" t="s">
        <v>66</v>
      </c>
      <c r="AC42" s="102"/>
      <c r="AD42"/>
    </row>
    <row r="43" spans="1:30" s="1" customFormat="1" ht="29.1" customHeight="1">
      <c r="A43" s="2" t="s">
        <v>0</v>
      </c>
      <c r="B43" s="2" t="s">
        <v>93</v>
      </c>
      <c r="C43" s="15" t="s">
        <v>3</v>
      </c>
      <c r="D43" s="15" t="s">
        <v>4</v>
      </c>
      <c r="E43" s="53" t="s">
        <v>94</v>
      </c>
      <c r="F43" s="53" t="s">
        <v>12</v>
      </c>
      <c r="G43" s="54" t="s">
        <v>95</v>
      </c>
      <c r="H43" s="54" t="s">
        <v>96</v>
      </c>
      <c r="I43" s="54" t="s">
        <v>97</v>
      </c>
      <c r="J43" s="54" t="s">
        <v>14</v>
      </c>
      <c r="K43" s="55" t="s">
        <v>98</v>
      </c>
      <c r="L43" s="55" t="s">
        <v>99</v>
      </c>
      <c r="M43" s="55" t="s">
        <v>100</v>
      </c>
      <c r="N43" s="55" t="s">
        <v>101</v>
      </c>
      <c r="O43" s="55" t="s">
        <v>102</v>
      </c>
      <c r="P43" s="55" t="s">
        <v>103</v>
      </c>
      <c r="Q43" s="89" t="s">
        <v>143</v>
      </c>
      <c r="R43" s="56" t="s">
        <v>104</v>
      </c>
      <c r="S43" s="57" t="s">
        <v>105</v>
      </c>
      <c r="T43" s="58" t="s">
        <v>106</v>
      </c>
      <c r="U43" s="58" t="s">
        <v>107</v>
      </c>
      <c r="V43" s="58" t="s">
        <v>108</v>
      </c>
      <c r="W43" s="58" t="s">
        <v>109</v>
      </c>
      <c r="X43" s="58" t="s">
        <v>110</v>
      </c>
      <c r="Y43" s="58" t="s">
        <v>111</v>
      </c>
      <c r="Z43" s="59" t="s">
        <v>112</v>
      </c>
      <c r="AA43" s="87" t="s">
        <v>147</v>
      </c>
      <c r="AB43" s="4" t="s">
        <v>76</v>
      </c>
      <c r="AC43" s="4" t="s">
        <v>75</v>
      </c>
    </row>
    <row r="44" spans="1:30" s="1" customFormat="1" ht="13.5" customHeight="1">
      <c r="A44" s="60" t="s">
        <v>113</v>
      </c>
      <c r="B44" s="61">
        <v>0</v>
      </c>
      <c r="C44" s="6">
        <v>2</v>
      </c>
      <c r="D44" s="62">
        <v>0</v>
      </c>
      <c r="E44" s="62">
        <f>SLOPE(D44:D45,B44:B45)</f>
        <v>17.534778681120144</v>
      </c>
      <c r="F44" s="62">
        <f>INTERCEPT(D44:D45,B44:B45)</f>
        <v>0</v>
      </c>
      <c r="G44" s="63" t="s">
        <v>114</v>
      </c>
      <c r="H44" s="63">
        <v>23.6</v>
      </c>
      <c r="I44" s="63">
        <v>34.97</v>
      </c>
      <c r="J44" s="63">
        <v>1023.73</v>
      </c>
      <c r="K44" s="64">
        <v>1</v>
      </c>
      <c r="L44" s="64">
        <v>20.9</v>
      </c>
      <c r="M44" s="64">
        <v>241.8</v>
      </c>
      <c r="N44" s="65">
        <f t="shared" ref="N44:N47" si="6">M44-19.7</f>
        <v>222.10000000000002</v>
      </c>
      <c r="O44" s="65">
        <v>19.7</v>
      </c>
      <c r="P44" s="66">
        <v>4774</v>
      </c>
      <c r="Q44" s="67">
        <f>(P44-$F$44)/($E$44)</f>
        <v>272.25892535160477</v>
      </c>
      <c r="R44" s="67">
        <v>0</v>
      </c>
      <c r="S44" s="63">
        <v>-165.88059999999999</v>
      </c>
      <c r="T44" s="63">
        <v>222.87430000000001</v>
      </c>
      <c r="U44" s="63">
        <v>92.0792</v>
      </c>
      <c r="V44" s="63">
        <v>-1.4842500000000001</v>
      </c>
      <c r="W44" s="63">
        <v>-5.6235E-2</v>
      </c>
      <c r="X44" s="63">
        <v>3.1619000000000001E-2</v>
      </c>
      <c r="Y44" s="63">
        <v>-4.8472000000000003E-3</v>
      </c>
      <c r="Z44" s="65">
        <v>8.2057459999999999E-2</v>
      </c>
      <c r="AA44" s="68">
        <f>(EXP(S44+T44*(100/(273.15+L44))+U44*LN(((273.15+L44)/100))+V44*(((273.15+L44)/100)*((273.15+L44)/100))+I44*(W44+X44*((273.15+L44)/100)+Y44*(((273.15+L44)/100)*((273.15+L44)/100)))))</f>
        <v>2.2695083689315672E-2</v>
      </c>
      <c r="AB44" s="69">
        <f>(($AA44)*$N44*$Q44+(Q44-R44)*$O44/((273.15+$H44)*Z44))/$N44</f>
        <v>7.1706634906389572</v>
      </c>
      <c r="AC44" s="70">
        <f>AB44*1000/J44</f>
        <v>7.0044479409990492</v>
      </c>
    </row>
    <row r="45" spans="1:30" s="1" customFormat="1" ht="13.5" customHeight="1">
      <c r="A45" s="34" t="s">
        <v>115</v>
      </c>
      <c r="B45" s="62">
        <v>332.1</v>
      </c>
      <c r="C45" s="61">
        <v>2</v>
      </c>
      <c r="D45" s="62">
        <v>5823.3</v>
      </c>
      <c r="E45" s="62">
        <f>SLOPE(D45:D46,B45:B46)</f>
        <v>14.102340456461695</v>
      </c>
      <c r="F45" s="62">
        <f>INTERCEPT(D45:D46,B45:B46)</f>
        <v>1139.9127344090703</v>
      </c>
      <c r="G45" s="63" t="s">
        <v>114</v>
      </c>
      <c r="H45" s="63">
        <v>23.6</v>
      </c>
      <c r="I45" s="63">
        <v>34.97</v>
      </c>
      <c r="J45" s="63">
        <v>1023.73</v>
      </c>
      <c r="K45" s="64">
        <v>1</v>
      </c>
      <c r="L45" s="64">
        <v>20.9</v>
      </c>
      <c r="M45" s="64">
        <v>238.7</v>
      </c>
      <c r="N45" s="65">
        <f t="shared" si="6"/>
        <v>219</v>
      </c>
      <c r="O45" s="65">
        <v>19.7</v>
      </c>
      <c r="P45" s="12">
        <v>4771</v>
      </c>
      <c r="Q45" s="67">
        <f>(P45-$F$44)/($E$44)</f>
        <v>272.08783679357066</v>
      </c>
      <c r="R45" s="67">
        <v>0</v>
      </c>
      <c r="S45" s="63">
        <v>-165.88059999999999</v>
      </c>
      <c r="T45" s="63">
        <v>222.87430000000001</v>
      </c>
      <c r="U45" s="63">
        <v>92.0792</v>
      </c>
      <c r="V45" s="63">
        <v>-1.4842500000000001</v>
      </c>
      <c r="W45" s="63">
        <v>-5.6235E-2</v>
      </c>
      <c r="X45" s="63">
        <v>3.1619000000000001E-2</v>
      </c>
      <c r="Y45" s="63">
        <v>-4.8472000000000003E-3</v>
      </c>
      <c r="Z45" s="65">
        <v>8.2057459999999999E-2</v>
      </c>
      <c r="AA45" s="68">
        <f t="shared" ref="AA45:AA47" si="7">(EXP(S45+T45*(100/(273.15+L45))+U45*LN(((273.15+L45)/100))+V45*(((273.15+L45)/100)*((273.15+L45)/100))+I45*(W45+X45*((273.15+L45)/100)+Y45*(((273.15+L45)/100)*((273.15+L45)/100)))))</f>
        <v>2.2695083689315672E-2</v>
      </c>
      <c r="AB45" s="69">
        <f>(($AA45)*$N45*$Q45+(Q45-R45)*$O45/((273.15+$H45)*Z45))/$N45</f>
        <v>7.1801867043321703</v>
      </c>
      <c r="AC45" s="70">
        <f>AB45*1000/J45</f>
        <v>7.0137504071700247</v>
      </c>
    </row>
    <row r="46" spans="1:30" s="1" customFormat="1" ht="13.5" customHeight="1">
      <c r="A46" s="60" t="s">
        <v>116</v>
      </c>
      <c r="B46" s="71">
        <v>1020</v>
      </c>
      <c r="C46" s="61">
        <v>2</v>
      </c>
      <c r="D46" s="62">
        <v>15524.3</v>
      </c>
      <c r="E46" s="62">
        <f>SLOPE(D46:D47,B46:B47)</f>
        <v>12.124375000000001</v>
      </c>
      <c r="F46" s="62">
        <f>INTERCEPT(D46:D47,B46:B47)</f>
        <v>3157.4375</v>
      </c>
      <c r="G46" s="63" t="s">
        <v>114</v>
      </c>
      <c r="H46" s="63">
        <v>23.6</v>
      </c>
      <c r="I46" s="63">
        <v>34.97</v>
      </c>
      <c r="J46" s="63">
        <v>1023.73</v>
      </c>
      <c r="K46" s="64">
        <v>1</v>
      </c>
      <c r="L46" s="64">
        <v>20.9</v>
      </c>
      <c r="M46" s="64">
        <v>243.1</v>
      </c>
      <c r="N46" s="65">
        <f t="shared" si="6"/>
        <v>223.4</v>
      </c>
      <c r="O46" s="65">
        <v>19.7</v>
      </c>
      <c r="P46" s="12">
        <v>4767</v>
      </c>
      <c r="Q46" s="67">
        <f>(P46-$F$44)/($E$44)</f>
        <v>271.85971871619188</v>
      </c>
      <c r="R46" s="67">
        <v>0</v>
      </c>
      <c r="S46" s="63">
        <v>-165.88059999999999</v>
      </c>
      <c r="T46" s="63">
        <v>222.87430000000001</v>
      </c>
      <c r="U46" s="63">
        <v>92.0792</v>
      </c>
      <c r="V46" s="63">
        <v>-1.4842500000000001</v>
      </c>
      <c r="W46" s="63">
        <v>-5.6235E-2</v>
      </c>
      <c r="X46" s="63">
        <v>3.1619000000000001E-2</v>
      </c>
      <c r="Y46" s="63">
        <v>-4.8472000000000003E-3</v>
      </c>
      <c r="Z46" s="65">
        <v>8.2057459999999999E-2</v>
      </c>
      <c r="AA46" s="68">
        <f t="shared" si="7"/>
        <v>2.2695083689315672E-2</v>
      </c>
      <c r="AB46" s="69">
        <f>(($AA46)*$N46*$Q46+(Q46-R46)*$O46/((273.15+$H46)*Z46))/$N46</f>
        <v>7.1543867817756253</v>
      </c>
      <c r="AC46" s="70">
        <f>AB46*1000/J46</f>
        <v>6.9885485252709456</v>
      </c>
    </row>
    <row r="47" spans="1:30" s="1" customFormat="1" ht="13.5" customHeight="1">
      <c r="A47" s="60" t="s">
        <v>117</v>
      </c>
      <c r="B47" s="71">
        <v>3100</v>
      </c>
      <c r="C47" s="61">
        <v>2</v>
      </c>
      <c r="D47" s="62">
        <v>40743</v>
      </c>
      <c r="E47" s="72"/>
      <c r="F47" s="73"/>
      <c r="G47" s="63" t="s">
        <v>114</v>
      </c>
      <c r="H47" s="63">
        <v>23.6</v>
      </c>
      <c r="I47" s="63">
        <v>34.97</v>
      </c>
      <c r="J47" s="63">
        <v>1023.73</v>
      </c>
      <c r="K47" s="64">
        <v>1</v>
      </c>
      <c r="L47" s="64">
        <v>20.9</v>
      </c>
      <c r="M47" s="64">
        <v>242.3</v>
      </c>
      <c r="N47" s="65">
        <f t="shared" si="6"/>
        <v>222.60000000000002</v>
      </c>
      <c r="O47" s="65">
        <v>19.7</v>
      </c>
      <c r="P47" s="12">
        <v>4767</v>
      </c>
      <c r="Q47" s="67">
        <f>(P47-$F$44)/($E$44)</f>
        <v>271.85971871619188</v>
      </c>
      <c r="R47" s="67">
        <v>0</v>
      </c>
      <c r="S47" s="63">
        <v>-165.88059999999999</v>
      </c>
      <c r="T47" s="63">
        <v>222.87430000000001</v>
      </c>
      <c r="U47" s="63">
        <v>92.0792</v>
      </c>
      <c r="V47" s="63">
        <v>-1.4842500000000001</v>
      </c>
      <c r="W47" s="63">
        <v>-5.6235E-2</v>
      </c>
      <c r="X47" s="63">
        <v>3.1619000000000001E-2</v>
      </c>
      <c r="Y47" s="63">
        <v>-4.8472000000000003E-3</v>
      </c>
      <c r="Z47" s="65">
        <v>8.2057459999999999E-2</v>
      </c>
      <c r="AA47" s="68">
        <f t="shared" si="7"/>
        <v>2.2695083689315672E-2</v>
      </c>
      <c r="AB47" s="69">
        <f>(($AA47)*$N47*$Q47+(Q47-R47)*$O47/((273.15+$H47)*Z47))/$N47</f>
        <v>7.1579249945833796</v>
      </c>
      <c r="AC47" s="70">
        <f>AB47*1000/J47</f>
        <v>6.9920047225180273</v>
      </c>
    </row>
    <row r="48" spans="1:30" s="1" customFormat="1" ht="13.5" customHeight="1">
      <c r="E48" s="74"/>
      <c r="F48" s="75"/>
      <c r="G48" s="10"/>
      <c r="H48" s="10"/>
    </row>
    <row r="49" spans="1:29" s="1" customFormat="1" ht="13.5" customHeight="1">
      <c r="G49" s="6"/>
      <c r="H49" s="6"/>
      <c r="I49" s="6"/>
      <c r="J49" s="10"/>
    </row>
    <row r="50" spans="1:29" s="1" customFormat="1" ht="13.5" customHeight="1">
      <c r="A50" s="17"/>
      <c r="B50" s="6"/>
      <c r="C50" s="6"/>
      <c r="D50" s="10"/>
      <c r="AC50" s="76"/>
    </row>
    <row r="51" spans="1:29" s="1" customFormat="1" ht="13.5" customHeight="1">
      <c r="A51" s="17" t="s">
        <v>21</v>
      </c>
      <c r="B51" s="17" t="s">
        <v>20</v>
      </c>
      <c r="C51" s="17"/>
      <c r="E51" s="61"/>
      <c r="F51" s="77"/>
      <c r="G51" s="61"/>
      <c r="H51" s="62"/>
      <c r="AC51" s="76"/>
    </row>
    <row r="52" spans="1:29" s="1" customFormat="1" ht="15.75">
      <c r="A52" s="20" t="s">
        <v>22</v>
      </c>
      <c r="B52" s="17" t="s">
        <v>23</v>
      </c>
      <c r="C52" s="17"/>
      <c r="E52" s="61"/>
      <c r="F52" s="77"/>
      <c r="G52" s="61"/>
      <c r="H52" s="62"/>
      <c r="AC52" s="76"/>
    </row>
    <row r="53" spans="1:29" s="1" customFormat="1" ht="15.75">
      <c r="A53" s="20" t="s">
        <v>24</v>
      </c>
      <c r="B53" s="17" t="s">
        <v>25</v>
      </c>
      <c r="C53" s="17"/>
      <c r="E53" s="61"/>
      <c r="F53" s="77"/>
      <c r="G53" s="61"/>
      <c r="H53" s="62"/>
      <c r="AC53" s="76"/>
    </row>
    <row r="54" spans="1:29" s="1" customFormat="1" ht="15.75">
      <c r="A54" s="20" t="s">
        <v>26</v>
      </c>
      <c r="B54" s="20" t="s">
        <v>35</v>
      </c>
      <c r="C54" s="17"/>
      <c r="D54" s="17"/>
      <c r="E54" s="6"/>
      <c r="F54" s="78"/>
      <c r="G54" s="6"/>
      <c r="H54" s="79"/>
    </row>
    <row r="55" spans="1:29" s="1" customFormat="1" ht="15.75">
      <c r="A55" s="20" t="s">
        <v>28</v>
      </c>
      <c r="B55" s="1" t="s">
        <v>43</v>
      </c>
      <c r="C55" s="17"/>
      <c r="D55" s="17"/>
      <c r="E55" s="6"/>
      <c r="F55" s="78"/>
      <c r="G55" s="6"/>
      <c r="H55" s="79"/>
    </row>
    <row r="56" spans="1:29" s="1" customFormat="1" ht="15.75">
      <c r="A56" s="20" t="s">
        <v>30</v>
      </c>
      <c r="B56" s="1" t="s">
        <v>44</v>
      </c>
      <c r="D56" s="20"/>
      <c r="E56" s="17"/>
      <c r="F56" s="17"/>
      <c r="G56" s="17"/>
      <c r="H56" s="17"/>
    </row>
    <row r="57" spans="1:29" s="1" customFormat="1" ht="15.75">
      <c r="A57" s="20" t="s">
        <v>32</v>
      </c>
      <c r="B57" s="20" t="s">
        <v>118</v>
      </c>
    </row>
    <row r="58" spans="1:29" s="1" customFormat="1" ht="15.75">
      <c r="A58" s="20" t="s">
        <v>36</v>
      </c>
      <c r="B58" s="1" t="s">
        <v>119</v>
      </c>
      <c r="D58" s="20"/>
    </row>
    <row r="59" spans="1:29" s="1" customFormat="1" ht="15.75">
      <c r="A59" s="20" t="s">
        <v>34</v>
      </c>
      <c r="B59" s="20" t="s">
        <v>120</v>
      </c>
      <c r="D59" s="20"/>
    </row>
    <row r="60" spans="1:29" s="1" customFormat="1" ht="15.75">
      <c r="A60" s="20" t="s">
        <v>37</v>
      </c>
      <c r="B60" s="1" t="s">
        <v>121</v>
      </c>
    </row>
    <row r="61" spans="1:29" s="1" customFormat="1" ht="15.75">
      <c r="A61" s="20" t="s">
        <v>38</v>
      </c>
      <c r="B61" s="20" t="s">
        <v>33</v>
      </c>
    </row>
    <row r="62" spans="1:29" s="1" customFormat="1" ht="15.75">
      <c r="A62" s="20" t="s">
        <v>39</v>
      </c>
      <c r="B62" s="20" t="s">
        <v>122</v>
      </c>
    </row>
    <row r="63" spans="1:29" s="1" customFormat="1" ht="15.75">
      <c r="A63" s="20" t="s">
        <v>40</v>
      </c>
      <c r="B63" s="1" t="s">
        <v>123</v>
      </c>
    </row>
    <row r="64" spans="1:29" s="1" customFormat="1" ht="15.75">
      <c r="A64" s="20" t="s">
        <v>41</v>
      </c>
      <c r="B64" s="1" t="s">
        <v>124</v>
      </c>
    </row>
    <row r="65" spans="1:2" s="1" customFormat="1" ht="15.75">
      <c r="A65" s="20" t="s">
        <v>42</v>
      </c>
      <c r="B65" s="1" t="s">
        <v>125</v>
      </c>
    </row>
    <row r="66" spans="1:2" s="1" customFormat="1" ht="15.75">
      <c r="A66" s="20" t="s">
        <v>45</v>
      </c>
      <c r="B66" s="20" t="s">
        <v>51</v>
      </c>
    </row>
    <row r="67" spans="1:2" s="1" customFormat="1" ht="15.75">
      <c r="A67" s="20" t="s">
        <v>47</v>
      </c>
      <c r="B67" s="88" t="s">
        <v>144</v>
      </c>
    </row>
    <row r="68" spans="1:2" s="1" customFormat="1" ht="15.75">
      <c r="A68" s="20" t="s">
        <v>50</v>
      </c>
      <c r="B68" s="86" t="s">
        <v>145</v>
      </c>
    </row>
    <row r="69" spans="1:2" s="1" customFormat="1" ht="15.75">
      <c r="A69" s="20" t="s">
        <v>126</v>
      </c>
      <c r="B69" s="86" t="s">
        <v>140</v>
      </c>
    </row>
    <row r="70" spans="1:2" s="1" customFormat="1" ht="15.75">
      <c r="A70" s="20" t="s">
        <v>127</v>
      </c>
      <c r="B70" s="20" t="s">
        <v>128</v>
      </c>
    </row>
    <row r="71" spans="1:2" s="1" customFormat="1" ht="15.75">
      <c r="A71" s="20" t="s">
        <v>129</v>
      </c>
      <c r="B71" s="90" t="s">
        <v>148</v>
      </c>
    </row>
    <row r="72" spans="1:2" s="1" customFormat="1" ht="15.75">
      <c r="A72" s="20" t="s">
        <v>130</v>
      </c>
      <c r="B72" s="86" t="s">
        <v>81</v>
      </c>
    </row>
    <row r="73" spans="1:2" s="1" customFormat="1" ht="15.75">
      <c r="A73" s="20" t="s">
        <v>131</v>
      </c>
      <c r="B73" s="86" t="s">
        <v>82</v>
      </c>
    </row>
  </sheetData>
  <mergeCells count="12">
    <mergeCell ref="AB3:AC3"/>
    <mergeCell ref="A42:D42"/>
    <mergeCell ref="E42:F42"/>
    <mergeCell ref="G42:J42"/>
    <mergeCell ref="K42:R42"/>
    <mergeCell ref="S42:AA42"/>
    <mergeCell ref="AB42:AC42"/>
    <mergeCell ref="A3:D3"/>
    <mergeCell ref="E3:F3"/>
    <mergeCell ref="G3:J3"/>
    <mergeCell ref="K3:R3"/>
    <mergeCell ref="S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Purge-and-trap</vt:lpstr>
      <vt:lpstr>Headspace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2018-02-01T00:31:01Z</dcterms:created>
  <dcterms:modified xsi:type="dcterms:W3CDTF">2018-06-18T23:20:03Z</dcterms:modified>
</cp:coreProperties>
</file>